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30" windowWidth="15195" windowHeight="135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<sst xmlns="http://schemas.openxmlformats.org/spreadsheetml/2006/main" count="483" uniqueCount="237">
  <si>
    <t>Couleur</t>
  </si>
  <si>
    <t>Valeur</t>
  </si>
  <si>
    <t>Valeur à</t>
  </si>
  <si>
    <t xml:space="preserve"> l'Unité</t>
  </si>
  <si>
    <t>Nbre de</t>
  </si>
  <si>
    <t>Jetons</t>
  </si>
  <si>
    <t>Nbre jetons</t>
  </si>
  <si>
    <t>de Garde %</t>
  </si>
  <si>
    <t>Distribuée</t>
  </si>
  <si>
    <t>Total</t>
  </si>
  <si>
    <t>Nbre de Joueur :</t>
  </si>
  <si>
    <t>Cave de Départ temporaire :</t>
  </si>
  <si>
    <t>Valeur Totale</t>
  </si>
  <si>
    <t>Fictive</t>
  </si>
  <si>
    <t>Utilisée</t>
  </si>
  <si>
    <t>Reste à</t>
  </si>
  <si>
    <t>Distribuer</t>
  </si>
  <si>
    <t>Nbre Jetons</t>
  </si>
  <si>
    <t>par Joueur</t>
  </si>
  <si>
    <t>Distribuable</t>
  </si>
  <si>
    <t>Cave de Départ Définitive :</t>
  </si>
  <si>
    <t>Jetons par Joueur</t>
  </si>
  <si>
    <t>Cave de Départ</t>
  </si>
  <si>
    <t>faire valeur distribuable blanc 0</t>
  </si>
  <si>
    <t>Différence D142-k135</t>
  </si>
  <si>
    <t>diviser cette différence par valeur à l'unité 500, puis 100,puis 50etc…</t>
  </si>
  <si>
    <t>Le chiffre correspond au nbre de jeton en plus pour chaque joueurs, de la couleur de ou la division est OK</t>
  </si>
  <si>
    <t>FEUILLE DE CALCUL</t>
  </si>
  <si>
    <t>Calcul 1ère Cave d'entrée :</t>
  </si>
  <si>
    <t>Calcul Revace :</t>
  </si>
  <si>
    <t>Mémo</t>
  </si>
  <si>
    <t>Valeur réelle</t>
  </si>
  <si>
    <t>Première division supérieure à zéro est OK</t>
  </si>
  <si>
    <t>Nbre total de couleur utilisé:</t>
  </si>
  <si>
    <t>Rappel</t>
  </si>
  <si>
    <t>N°</t>
  </si>
  <si>
    <t>Cave de Départ :</t>
  </si>
  <si>
    <t>Nombre de couleur à -10%:</t>
  </si>
  <si>
    <t>Nombre de couleur à 100% :</t>
  </si>
  <si>
    <t>RECAVE :</t>
  </si>
  <si>
    <t>Nombre de couleurs non recavées :</t>
  </si>
  <si>
    <t>Nombre de couleurs pour recave :</t>
  </si>
  <si>
    <t>Jetons Possible</t>
  </si>
  <si>
    <t>de recave</t>
  </si>
  <si>
    <t>pour recave</t>
  </si>
  <si>
    <t xml:space="preserve">Nbre jeton </t>
  </si>
  <si>
    <t>recave</t>
  </si>
  <si>
    <t>Valeur jetons</t>
  </si>
  <si>
    <t>RECAVE</t>
  </si>
  <si>
    <t>Jetons OK</t>
  </si>
  <si>
    <t>possible bis</t>
  </si>
  <si>
    <t>Le jeton</t>
  </si>
  <si>
    <t>d'égalité</t>
  </si>
  <si>
    <t>dégalité 2</t>
  </si>
  <si>
    <t>Différence Cave et Recave 1 :</t>
  </si>
  <si>
    <t>Différence Cave et Recave 2 :</t>
  </si>
  <si>
    <t>Nbre jeton</t>
  </si>
  <si>
    <t>recave 2</t>
  </si>
  <si>
    <t>Différence Cave et Recave 3 :</t>
  </si>
  <si>
    <t>Cave 3</t>
  </si>
  <si>
    <t>Egalité</t>
  </si>
  <si>
    <t>Finale 1</t>
  </si>
  <si>
    <t>Finale 2</t>
  </si>
  <si>
    <t>Reste à déduite de diff. 3 :</t>
  </si>
  <si>
    <t>egalité 4</t>
  </si>
  <si>
    <t>Finale 2bis</t>
  </si>
  <si>
    <t>Finale 1bis</t>
  </si>
  <si>
    <t>egalité 1</t>
  </si>
  <si>
    <t>ReCave 4</t>
  </si>
  <si>
    <t>Recave 4</t>
  </si>
  <si>
    <t>Différence Cave et Recave 4 :</t>
  </si>
  <si>
    <t>Recave :</t>
  </si>
  <si>
    <t>Add-On :</t>
  </si>
  <si>
    <t>Multiplication du nombre Joueurs :</t>
  </si>
  <si>
    <t>Calcul ADD-ON :</t>
  </si>
  <si>
    <t>Nbre couleur Non pour ADD-ON :</t>
  </si>
  <si>
    <t>Nbre de couleur pour ADD-ON :</t>
  </si>
  <si>
    <t>Calcul ADD-ON</t>
  </si>
  <si>
    <t>Calcul Recave</t>
  </si>
  <si>
    <t>ADD-ON :</t>
  </si>
  <si>
    <t>ADD-ON</t>
  </si>
  <si>
    <t>Valeur Couleur MAX de ADD-ON :</t>
  </si>
  <si>
    <t xml:space="preserve">% à distribuer </t>
  </si>
  <si>
    <t>% Garde</t>
  </si>
  <si>
    <t>Nom tous</t>
  </si>
  <si>
    <t>jetons ok</t>
  </si>
  <si>
    <t>valeur Unité</t>
  </si>
  <si>
    <t>en cours</t>
  </si>
  <si>
    <t>Position</t>
  </si>
  <si>
    <t>jeton</t>
  </si>
  <si>
    <t>jetons</t>
  </si>
  <si>
    <t>couleur</t>
  </si>
  <si>
    <t>Différence 4 :</t>
  </si>
  <si>
    <t>possibles</t>
  </si>
  <si>
    <t>utilisés</t>
  </si>
  <si>
    <t>utilisés 1</t>
  </si>
  <si>
    <t>Différence 4bis</t>
  </si>
  <si>
    <t>4bis</t>
  </si>
  <si>
    <t>By Emmanuel AVITIS - France</t>
  </si>
  <si>
    <t>Language :</t>
  </si>
  <si>
    <t>English</t>
  </si>
  <si>
    <t>Deutsch</t>
  </si>
  <si>
    <t>Italiano</t>
  </si>
  <si>
    <t>Français</t>
  </si>
  <si>
    <t>Espagnol</t>
  </si>
  <si>
    <t>Portuguès</t>
  </si>
  <si>
    <t>Multiplication pour jetons rouges</t>
  </si>
  <si>
    <t>$</t>
  </si>
  <si>
    <t>€</t>
  </si>
  <si>
    <t>£</t>
  </si>
  <si>
    <t>REBUY</t>
  </si>
  <si>
    <t>PAYOUT</t>
  </si>
  <si>
    <t>BIGINIG JAR = THE BUYING</t>
  </si>
  <si>
    <t>Différence 5</t>
  </si>
  <si>
    <t>Nbre total</t>
  </si>
  <si>
    <t>Jetons 5</t>
  </si>
  <si>
    <t>jetons 5</t>
  </si>
  <si>
    <t>Diférence 5</t>
  </si>
  <si>
    <t>DOUBLE ADD-ON :</t>
  </si>
  <si>
    <t>Texas Hold'em</t>
  </si>
  <si>
    <t xml:space="preserve">Kid </t>
  </si>
  <si>
    <t>Draw poker</t>
  </si>
  <si>
    <t xml:space="preserve">Aviation </t>
  </si>
  <si>
    <t xml:space="preserve">Irish </t>
  </si>
  <si>
    <t xml:space="preserve">Omaha </t>
  </si>
  <si>
    <t xml:space="preserve">Courchevel </t>
  </si>
  <si>
    <t xml:space="preserve">Omaha high-low </t>
  </si>
  <si>
    <t>7-Card Stud</t>
  </si>
  <si>
    <t>7-Card Stud high low</t>
  </si>
  <si>
    <t xml:space="preserve">Double Texas Hold'em </t>
  </si>
  <si>
    <t>NO-LIMIT</t>
  </si>
  <si>
    <t>POT LIMIT</t>
  </si>
  <si>
    <t>LIMIT</t>
  </si>
  <si>
    <t>SPREAD-LIMIT</t>
  </si>
  <si>
    <t>DOUBLE ADD-ON</t>
  </si>
  <si>
    <t>Double ADD-ON</t>
  </si>
  <si>
    <t>AUTOMATIC SCHEDULE BLINDS</t>
  </si>
  <si>
    <t>Petite valeur</t>
  </si>
  <si>
    <t>Reste</t>
  </si>
  <si>
    <t>Ordre</t>
  </si>
  <si>
    <t>Valeurs</t>
  </si>
  <si>
    <t>Valeur ok</t>
  </si>
  <si>
    <t>Level</t>
  </si>
  <si>
    <t>LITTLE</t>
  </si>
  <si>
    <t>Nombre ok :</t>
  </si>
  <si>
    <t>Joueur</t>
  </si>
  <si>
    <t>A</t>
  </si>
  <si>
    <t>Nbre</t>
  </si>
  <si>
    <t>joueur</t>
  </si>
  <si>
    <t>Jetons +</t>
  </si>
  <si>
    <t>Jetons * 2</t>
  </si>
  <si>
    <t>1er</t>
  </si>
  <si>
    <t>2ème</t>
  </si>
  <si>
    <t>3ème</t>
  </si>
  <si>
    <t>4ème</t>
  </si>
  <si>
    <t>5ème</t>
  </si>
  <si>
    <t>6ème</t>
  </si>
  <si>
    <t>7ème</t>
  </si>
  <si>
    <t>Jeton</t>
  </si>
  <si>
    <t>minimum</t>
  </si>
  <si>
    <t>maximum</t>
  </si>
  <si>
    <t>max x2</t>
  </si>
  <si>
    <t>BIG</t>
  </si>
  <si>
    <t>calcul 1</t>
  </si>
  <si>
    <t>calcul 2</t>
  </si>
  <si>
    <t>LEVEL</t>
  </si>
  <si>
    <t>Chips &amp; Blinds CALCULATOR</t>
  </si>
  <si>
    <t>Automatic Chips &amp; Blinds Calculator for POKER</t>
  </si>
  <si>
    <t>Calculator Paiement</t>
  </si>
  <si>
    <t>Nbre max payé :</t>
  </si>
  <si>
    <t>Nbre Joueur :</t>
  </si>
  <si>
    <t>Places payées :</t>
  </si>
  <si>
    <t>% min payé par joueur</t>
  </si>
  <si>
    <t>Moitier places payées</t>
  </si>
  <si>
    <t>Moyenne min</t>
  </si>
  <si>
    <t>Evolution</t>
  </si>
  <si>
    <t>Payées</t>
  </si>
  <si>
    <t>Places</t>
  </si>
  <si>
    <t>Evolution 2</t>
  </si>
  <si>
    <t>Payé si :</t>
  </si>
  <si>
    <t>Place joueur</t>
  </si>
  <si>
    <t>XXX</t>
  </si>
  <si>
    <t>YYY</t>
  </si>
  <si>
    <t>Long</t>
  </si>
  <si>
    <t>Normal</t>
  </si>
  <si>
    <t>Short</t>
  </si>
  <si>
    <t>TIME</t>
  </si>
  <si>
    <t>SCHEDULE BLINDS</t>
  </si>
  <si>
    <t>PRINT PAGE 11</t>
  </si>
  <si>
    <t>Version 1.2 :</t>
  </si>
  <si>
    <t>Original version - first download</t>
  </si>
  <si>
    <t>Version 1.3:</t>
  </si>
  <si>
    <t>Fixed bug with Add-on</t>
  </si>
  <si>
    <t>Différence avec arrondi</t>
  </si>
  <si>
    <t>Arrondi 1er jet :</t>
  </si>
  <si>
    <t>Arrondi des caves :</t>
  </si>
  <si>
    <t>Arrondi des caves</t>
  </si>
  <si>
    <t>Valeur fin</t>
  </si>
  <si>
    <t>Valeur final</t>
  </si>
  <si>
    <t>ordre nbre</t>
  </si>
  <si>
    <t xml:space="preserve">Compte </t>
  </si>
  <si>
    <t>les zero</t>
  </si>
  <si>
    <t>Version 1.4:</t>
  </si>
  <si>
    <t>Fixed bug with Schédule Blinds</t>
  </si>
  <si>
    <t>Dernier écart :</t>
  </si>
  <si>
    <t>Dernier</t>
  </si>
  <si>
    <t>Raccord</t>
  </si>
  <si>
    <t>racord</t>
  </si>
  <si>
    <t>Total final</t>
  </si>
  <si>
    <t>valeur</t>
  </si>
  <si>
    <t>Price Pool</t>
  </si>
  <si>
    <t>Arrondi souhaité :</t>
  </si>
  <si>
    <t>Jetons ok</t>
  </si>
  <si>
    <t>Différence avec cave 1</t>
  </si>
  <si>
    <t>final ok</t>
  </si>
  <si>
    <t>Orfre nbre</t>
  </si>
  <si>
    <t>possible 1</t>
  </si>
  <si>
    <t>nbre</t>
  </si>
  <si>
    <t>jeton ok 1</t>
  </si>
  <si>
    <t>Valeur 1</t>
  </si>
  <si>
    <t>ok</t>
  </si>
  <si>
    <t>1er coul</t>
  </si>
  <si>
    <t>total</t>
  </si>
  <si>
    <t>coul 1</t>
  </si>
  <si>
    <t>Défférence avec cave 2</t>
  </si>
  <si>
    <t>possible 2</t>
  </si>
  <si>
    <t>2ème coul</t>
  </si>
  <si>
    <t>coul 2</t>
  </si>
  <si>
    <t>Différence avec cave 3</t>
  </si>
  <si>
    <t>possible 3</t>
  </si>
  <si>
    <t>3ème coul</t>
  </si>
  <si>
    <t>coul 3</t>
  </si>
  <si>
    <t>Différence avec cave 4</t>
  </si>
  <si>
    <t>Version 1.5:</t>
  </si>
  <si>
    <t>Version 1.5 - 17/09/2006</t>
  </si>
  <si>
    <t>New fonction : arround the buying</t>
  </si>
  <si>
    <t xml:space="preserve">                  (Arround the buying)</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</si>
</sst>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9]#,##0.00"/>
    <numFmt numFmtId="165" formatCode="[$$-409]#,##0.00"/>
    <numFmt numFmtId="166" formatCode="#,##0.00\ [$$-C0C]_-"/>
    <numFmt numFmtId="167" formatCode="#,##0\ [$$-C0C]_-"/>
    <numFmt numFmtId="168" formatCode=";;;"/>
    <numFmt numFmtId="169" formatCode="[$-40C]dddd\ d\ mmmm\ yyyy"/>
    <numFmt numFmtId="170" formatCode="h:mm;@"/>
  </numFmts>
  <fonts count="37">
    <font>
      <sz val="10"/>
      <name val="Arial"/>
      <family val="0"/>
    </font>
    <font>
      <sz val="8"/>
      <name val="Arial"/>
      <family val="0"/>
    </font>
    <font>
      <b/>
      <sz val="12"/>
      <color indexed="10"/>
      <name val="Arial"/>
      <family val="2"/>
    </font>
    <font>
      <b/>
      <sz val="10"/>
      <color indexed="17"/>
      <name val="Arial"/>
      <family val="2"/>
    </font>
    <font>
      <b/>
      <sz val="10"/>
      <color indexed="12"/>
      <name val="Arial"/>
      <family val="2"/>
    </font>
    <font>
      <b/>
      <sz val="10"/>
      <name val="Arial"/>
      <family val="2"/>
    </font>
    <font>
      <b/>
      <sz val="10"/>
      <color indexed="9"/>
      <name val="Arial"/>
      <family val="2"/>
    </font>
    <font>
      <b/>
      <sz val="12"/>
      <color indexed="12"/>
      <name val="Arial"/>
      <family val="2"/>
    </font>
    <font>
      <b/>
      <u val="single"/>
      <sz val="14"/>
      <color indexed="9"/>
      <name val="Palatino Linotype"/>
      <family val="1"/>
    </font>
    <font>
      <sz val="8"/>
      <name val="Tahoma"/>
      <family val="2"/>
    </font>
    <font>
      <b/>
      <sz val="12"/>
      <color indexed="17"/>
      <name val="Palatino Linotype"/>
      <family val="1"/>
    </font>
    <font>
      <sz val="10"/>
      <color indexed="17"/>
      <name val="Palatino Linotype"/>
      <family val="1"/>
    </font>
    <font>
      <b/>
      <sz val="12"/>
      <color indexed="63"/>
      <name val="Arial"/>
      <family val="2"/>
    </font>
    <font>
      <b/>
      <sz val="12"/>
      <color indexed="58"/>
      <name val="Arial"/>
      <family val="2"/>
    </font>
    <font>
      <u val="single"/>
      <sz val="10"/>
      <color indexed="12"/>
      <name val="Arial"/>
      <family val="0"/>
    </font>
    <font>
      <u val="single"/>
      <sz val="10"/>
      <color indexed="36"/>
      <name val="Arial"/>
      <family val="0"/>
    </font>
    <font>
      <sz val="20"/>
      <color indexed="10"/>
      <name val="Arial Rounded MT Bold"/>
      <family val="2"/>
    </font>
    <font>
      <b/>
      <sz val="20"/>
      <color indexed="10"/>
      <name val="Times New Roman"/>
      <family val="1"/>
    </font>
    <font>
      <b/>
      <sz val="18"/>
      <color indexed="17"/>
      <name val="Times New Roman"/>
      <family val="1"/>
    </font>
    <font>
      <b/>
      <sz val="14"/>
      <color indexed="12"/>
      <name val="Arial"/>
      <family val="2"/>
    </font>
    <font>
      <b/>
      <sz val="12"/>
      <color indexed="17"/>
      <name val="Arial"/>
      <family val="2"/>
    </font>
    <font>
      <b/>
      <sz val="10"/>
      <color indexed="8"/>
      <name val="Arial"/>
      <family val="2"/>
    </font>
    <font>
      <b/>
      <sz val="10"/>
      <color indexed="17"/>
      <name val="Palatino Linotype"/>
      <family val="1"/>
    </font>
    <font>
      <b/>
      <sz val="12"/>
      <name val="Arial"/>
      <family val="2"/>
    </font>
    <font>
      <b/>
      <i/>
      <sz val="10"/>
      <color indexed="12"/>
      <name val="Arial"/>
      <family val="2"/>
    </font>
    <font>
      <b/>
      <sz val="10"/>
      <color indexed="23"/>
      <name val="Arial"/>
      <family val="2"/>
    </font>
    <font>
      <b/>
      <sz val="16"/>
      <color indexed="10"/>
      <name val="Arial"/>
      <family val="2"/>
    </font>
    <font>
      <b/>
      <sz val="14"/>
      <color indexed="9"/>
      <name val="Arial"/>
      <family val="2"/>
    </font>
    <font>
      <sz val="10"/>
      <color indexed="8"/>
      <name val="Arial"/>
      <family val="0"/>
    </font>
    <font>
      <b/>
      <sz val="12"/>
      <color indexed="48"/>
      <name val="Arial"/>
      <family val="2"/>
    </font>
    <font>
      <b/>
      <u val="single"/>
      <sz val="10"/>
      <name val="Arial"/>
      <family val="2"/>
    </font>
    <font>
      <i/>
      <u val="single"/>
      <sz val="10"/>
      <name val="Arial"/>
      <family val="2"/>
    </font>
    <font>
      <sz val="10"/>
      <color indexed="9"/>
      <name val="Arial"/>
      <family val="0"/>
    </font>
    <font>
      <b/>
      <i/>
      <u val="single"/>
      <sz val="12"/>
      <color indexed="9"/>
      <name val="Arial"/>
      <family val="0"/>
    </font>
    <font>
      <b/>
      <i/>
      <sz val="10"/>
      <color indexed="9"/>
      <name val="Arial"/>
      <family val="0"/>
    </font>
    <font>
      <b/>
      <sz val="12"/>
      <color indexed="9"/>
      <name val="Arial"/>
      <family val="0"/>
    </font>
    <font>
      <b/>
      <i/>
      <sz val="12"/>
      <color indexed="9"/>
      <name val="Arial"/>
      <family val="0"/>
    </font>
  </fonts>
  <fills count="1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57"/>
        <bgColor indexed="64"/>
      </patternFill>
    </fill>
    <fill>
      <patternFill patternType="solid">
        <fgColor indexed="12"/>
        <bgColor indexed="64"/>
      </patternFill>
    </fill>
    <fill>
      <patternFill patternType="solid">
        <fgColor indexed="45"/>
        <bgColor indexed="64"/>
      </patternFill>
    </fill>
    <fill>
      <patternFill patternType="solid">
        <fgColor indexed="63"/>
        <bgColor indexed="64"/>
      </patternFill>
    </fill>
    <fill>
      <patternFill patternType="solid">
        <fgColor indexed="42"/>
        <bgColor indexed="64"/>
      </patternFill>
    </fill>
    <fill>
      <patternFill patternType="solid">
        <fgColor indexed="14"/>
        <bgColor indexed="64"/>
      </patternFill>
    </fill>
  </fills>
  <borders count="5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style="thin"/>
      <bottom style="thin"/>
    </border>
    <border>
      <left>
        <color indexed="63"/>
      </left>
      <right style="medium">
        <color indexed="12"/>
      </right>
      <top style="thin"/>
      <bottom style="medium">
        <color indexed="12"/>
      </bottom>
    </border>
    <border>
      <left>
        <color indexed="63"/>
      </left>
      <right style="medium">
        <color indexed="12"/>
      </right>
      <top>
        <color indexed="63"/>
      </top>
      <bottom style="thin"/>
    </border>
    <border>
      <left>
        <color indexed="63"/>
      </left>
      <right style="medium">
        <color indexed="12"/>
      </right>
      <top style="thin"/>
      <bottom style="thin"/>
    </border>
    <border>
      <left style="medium">
        <color indexed="12"/>
      </left>
      <right style="medium">
        <color indexed="12"/>
      </right>
      <top style="thin"/>
      <bottom style="medium">
        <color indexed="12"/>
      </bottom>
    </border>
    <border>
      <left style="medium">
        <color indexed="12"/>
      </left>
      <right style="medium">
        <color indexed="12"/>
      </right>
      <top>
        <color indexed="63"/>
      </top>
      <bottom style="thin"/>
    </border>
    <border>
      <left style="medium">
        <color indexed="12"/>
      </left>
      <right style="medium">
        <color indexed="12"/>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style="thin"/>
      <right style="medium"/>
      <top>
        <color indexed="63"/>
      </top>
      <bottom style="thin"/>
    </border>
    <border>
      <left style="medium"/>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medium">
        <color indexed="12"/>
      </right>
      <top style="thin"/>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style="thin"/>
      <top>
        <color indexed="63"/>
      </top>
      <bottom style="thin"/>
    </border>
    <border>
      <left style="thin"/>
      <right style="medium">
        <color indexed="12"/>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0" fillId="0" borderId="1" xfId="0" applyBorder="1" applyAlignment="1">
      <alignment/>
    </xf>
    <xf numFmtId="0" fontId="0" fillId="0" borderId="2" xfId="0" applyBorder="1" applyAlignment="1">
      <alignment/>
    </xf>
    <xf numFmtId="0" fontId="0" fillId="2" borderId="3" xfId="0" applyFill="1" applyBorder="1" applyAlignment="1">
      <alignment horizontal="center" vertical="center"/>
    </xf>
    <xf numFmtId="0" fontId="0" fillId="2" borderId="2" xfId="0" applyFill="1" applyBorder="1" applyAlignment="1">
      <alignment horizontal="center" vertical="center"/>
    </xf>
    <xf numFmtId="3" fontId="0" fillId="0" borderId="2" xfId="0" applyNumberFormat="1" applyBorder="1" applyAlignment="1">
      <alignment/>
    </xf>
    <xf numFmtId="3" fontId="0" fillId="0" borderId="1" xfId="0" applyNumberFormat="1" applyBorder="1" applyAlignment="1">
      <alignment/>
    </xf>
    <xf numFmtId="0" fontId="0" fillId="0" borderId="0" xfId="0" applyAlignment="1" applyProtection="1">
      <alignment/>
      <protection locked="0"/>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3" fontId="3" fillId="0" borderId="2" xfId="0" applyNumberFormat="1" applyFont="1" applyBorder="1" applyAlignment="1" applyProtection="1">
      <alignment/>
      <protection locked="0"/>
    </xf>
    <xf numFmtId="3" fontId="3" fillId="0" borderId="1" xfId="0" applyNumberFormat="1" applyFont="1" applyBorder="1" applyAlignment="1" applyProtection="1">
      <alignment/>
      <protection locked="0"/>
    </xf>
    <xf numFmtId="3" fontId="0" fillId="2" borderId="1" xfId="0" applyNumberFormat="1" applyFill="1" applyBorder="1" applyAlignment="1">
      <alignment/>
    </xf>
    <xf numFmtId="3" fontId="4" fillId="0" borderId="2" xfId="0" applyNumberFormat="1" applyFont="1" applyBorder="1" applyAlignment="1" applyProtection="1">
      <alignment/>
      <protection locked="0"/>
    </xf>
    <xf numFmtId="3" fontId="4" fillId="0" borderId="1" xfId="0" applyNumberFormat="1" applyFont="1" applyBorder="1" applyAlignment="1" applyProtection="1">
      <alignment/>
      <protection locked="0"/>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0" xfId="0" applyAlignment="1" applyProtection="1">
      <alignment/>
      <protection/>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3" fillId="0" borderId="6" xfId="0" applyFont="1" applyBorder="1" applyAlignment="1" applyProtection="1">
      <alignment horizontal="left"/>
      <protection locked="0"/>
    </xf>
    <xf numFmtId="0" fontId="11" fillId="0" borderId="0" xfId="0" applyFont="1" applyAlignment="1" applyProtection="1">
      <alignment horizontal="center"/>
      <protection/>
    </xf>
    <xf numFmtId="0" fontId="0" fillId="0" borderId="0" xfId="0" applyFill="1" applyAlignment="1">
      <alignment/>
    </xf>
    <xf numFmtId="0" fontId="0" fillId="0" borderId="0" xfId="0" applyFill="1" applyBorder="1" applyAlignment="1">
      <alignment/>
    </xf>
    <xf numFmtId="0" fontId="0" fillId="0" borderId="0" xfId="0" applyAlignment="1" applyProtection="1">
      <alignment/>
      <protection locked="0"/>
    </xf>
    <xf numFmtId="0" fontId="10" fillId="0" borderId="0" xfId="0" applyFont="1" applyAlignment="1" applyProtection="1">
      <alignment/>
      <protection/>
    </xf>
    <xf numFmtId="0" fontId="11" fillId="0" borderId="0" xfId="0" applyFont="1" applyAlignment="1" applyProtection="1">
      <alignment/>
      <protection/>
    </xf>
    <xf numFmtId="0" fontId="8" fillId="0" borderId="0" xfId="0" applyFont="1" applyFill="1" applyAlignment="1">
      <alignment/>
    </xf>
    <xf numFmtId="0" fontId="0" fillId="0" borderId="0" xfId="0" applyNumberFormat="1" applyAlignment="1">
      <alignment/>
    </xf>
    <xf numFmtId="3" fontId="12" fillId="4" borderId="6" xfId="0" applyNumberFormat="1" applyFont="1" applyFill="1" applyBorder="1" applyAlignment="1" applyProtection="1">
      <alignment horizontal="center"/>
      <protection/>
    </xf>
    <xf numFmtId="167" fontId="2" fillId="0" borderId="0" xfId="0" applyNumberFormat="1" applyFont="1" applyBorder="1" applyAlignment="1" applyProtection="1">
      <alignment horizontal="center"/>
      <protection/>
    </xf>
    <xf numFmtId="3" fontId="13" fillId="5" borderId="6" xfId="0" applyNumberFormat="1" applyFont="1" applyFill="1" applyBorder="1" applyAlignment="1" applyProtection="1">
      <alignment horizontal="center"/>
      <protection/>
    </xf>
    <xf numFmtId="3" fontId="7" fillId="6" borderId="6" xfId="0" applyNumberFormat="1" applyFont="1" applyFill="1" applyBorder="1" applyAlignment="1" applyProtection="1">
      <alignment horizontal="center"/>
      <protection/>
    </xf>
    <xf numFmtId="3" fontId="7" fillId="7" borderId="6" xfId="0" applyNumberFormat="1" applyFont="1" applyFill="1" applyBorder="1" applyAlignment="1" applyProtection="1">
      <alignment horizontal="center"/>
      <protection/>
    </xf>
    <xf numFmtId="0" fontId="0" fillId="0" borderId="0" xfId="0" applyBorder="1" applyAlignment="1">
      <alignment/>
    </xf>
    <xf numFmtId="3" fontId="19" fillId="0" borderId="0" xfId="0" applyNumberFormat="1" applyFont="1" applyAlignment="1">
      <alignment horizontal="center"/>
    </xf>
    <xf numFmtId="0" fontId="19" fillId="0" borderId="0" xfId="0" applyFont="1" applyAlignment="1">
      <alignment horizontal="left"/>
    </xf>
    <xf numFmtId="0" fontId="20" fillId="0" borderId="0" xfId="0" applyFont="1" applyAlignment="1">
      <alignment/>
    </xf>
    <xf numFmtId="3" fontId="20" fillId="0" borderId="0" xfId="0" applyNumberFormat="1" applyFont="1" applyAlignment="1">
      <alignment horizontal="center"/>
    </xf>
    <xf numFmtId="20" fontId="0" fillId="0" borderId="0" xfId="0" applyNumberFormat="1" applyAlignment="1">
      <alignment/>
    </xf>
    <xf numFmtId="22" fontId="0" fillId="0" borderId="0" xfId="0" applyNumberFormat="1" applyAlignment="1">
      <alignment/>
    </xf>
    <xf numFmtId="0" fontId="24" fillId="0" borderId="1" xfId="0" applyFont="1" applyBorder="1" applyAlignment="1">
      <alignment horizontal="center"/>
    </xf>
    <xf numFmtId="0" fontId="0" fillId="0" borderId="1" xfId="0" applyBorder="1" applyAlignment="1">
      <alignment horizontal="center"/>
    </xf>
    <xf numFmtId="170" fontId="0" fillId="0" borderId="1" xfId="0" applyNumberFormat="1" applyBorder="1" applyAlignment="1">
      <alignment/>
    </xf>
    <xf numFmtId="0" fontId="5" fillId="0" borderId="1" xfId="0" applyFont="1" applyBorder="1" applyAlignment="1">
      <alignment horizontal="center"/>
    </xf>
    <xf numFmtId="170" fontId="5" fillId="0" borderId="1" xfId="0" applyNumberFormat="1" applyFont="1" applyBorder="1" applyAlignment="1">
      <alignment/>
    </xf>
    <xf numFmtId="0" fontId="5" fillId="0" borderId="1" xfId="0" applyFont="1" applyBorder="1" applyAlignment="1">
      <alignment/>
    </xf>
    <xf numFmtId="0" fontId="0" fillId="0" borderId="7" xfId="0" applyBorder="1" applyAlignment="1">
      <alignment horizontal="center"/>
    </xf>
    <xf numFmtId="3" fontId="0" fillId="0" borderId="8" xfId="0" applyNumberFormat="1" applyBorder="1" applyAlignment="1">
      <alignment horizontal="center"/>
    </xf>
    <xf numFmtId="0" fontId="4" fillId="0" borderId="9" xfId="0" applyFont="1"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4" fillId="0" borderId="12" xfId="0" applyFon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3" fontId="0" fillId="0" borderId="12" xfId="0" applyNumberFormat="1" applyBorder="1" applyAlignment="1">
      <alignment horizontal="center"/>
    </xf>
    <xf numFmtId="3" fontId="0" fillId="0" borderId="1" xfId="0" applyNumberFormat="1" applyBorder="1" applyAlignment="1">
      <alignment horizontal="center"/>
    </xf>
    <xf numFmtId="0" fontId="21" fillId="8" borderId="1" xfId="0" applyFont="1" applyFill="1" applyBorder="1" applyAlignment="1">
      <alignment horizontal="center"/>
    </xf>
    <xf numFmtId="0" fontId="28" fillId="0" borderId="0" xfId="0" applyNumberFormat="1" applyFont="1" applyAlignment="1">
      <alignment/>
    </xf>
    <xf numFmtId="0" fontId="28" fillId="0" borderId="0" xfId="0" applyNumberFormat="1" applyFont="1" applyFill="1" applyBorder="1" applyAlignment="1">
      <alignment/>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0" fontId="11" fillId="0" borderId="0" xfId="0" applyFont="1" applyBorder="1" applyAlignment="1" applyProtection="1">
      <alignment horizontal="right"/>
      <protection/>
    </xf>
    <xf numFmtId="0" fontId="11" fillId="0" borderId="0" xfId="0" applyFont="1" applyBorder="1" applyAlignment="1" applyProtection="1">
      <alignment horizontal="left"/>
      <protection/>
    </xf>
    <xf numFmtId="3" fontId="0" fillId="0" borderId="0" xfId="0" applyNumberFormat="1" applyBorder="1" applyAlignment="1">
      <alignment/>
    </xf>
    <xf numFmtId="0" fontId="0" fillId="0" borderId="0" xfId="0" applyBorder="1" applyAlignment="1" applyProtection="1">
      <alignment/>
      <protection/>
    </xf>
    <xf numFmtId="0" fontId="0" fillId="0" borderId="0" xfId="0" applyBorder="1" applyAlignment="1">
      <alignment horizontal="center"/>
    </xf>
    <xf numFmtId="0" fontId="6" fillId="9" borderId="0" xfId="0" applyFont="1" applyFill="1" applyBorder="1" applyAlignment="1">
      <alignment horizontal="center"/>
    </xf>
    <xf numFmtId="0" fontId="0" fillId="0" borderId="0" xfId="0" applyNumberFormat="1" applyBorder="1" applyAlignment="1">
      <alignment/>
    </xf>
    <xf numFmtId="0" fontId="6" fillId="9" borderId="0" xfId="0" applyFont="1" applyFill="1" applyBorder="1" applyAlignment="1" applyProtection="1">
      <alignment horizontal="center"/>
      <protection/>
    </xf>
    <xf numFmtId="0" fontId="0" fillId="0" borderId="15" xfId="0" applyBorder="1" applyAlignment="1" applyProtection="1">
      <alignment horizontal="center"/>
      <protection locked="0"/>
    </xf>
    <xf numFmtId="0" fontId="11" fillId="0" borderId="16" xfId="0" applyFont="1" applyBorder="1" applyAlignment="1" applyProtection="1">
      <alignment horizontal="center"/>
      <protection/>
    </xf>
    <xf numFmtId="0" fontId="11" fillId="0" borderId="15" xfId="0" applyFont="1" applyBorder="1" applyAlignment="1" applyProtection="1">
      <alignment horizontal="center"/>
      <protection locked="0"/>
    </xf>
    <xf numFmtId="0" fontId="11" fillId="0" borderId="15" xfId="0" applyFont="1" applyBorder="1" applyAlignment="1" applyProtection="1">
      <alignment horizontal="right"/>
      <protection hidden="1"/>
    </xf>
    <xf numFmtId="0" fontId="11" fillId="0" borderId="15" xfId="0" applyFont="1" applyBorder="1" applyAlignment="1" applyProtection="1">
      <alignment horizontal="left"/>
      <protection/>
    </xf>
    <xf numFmtId="0" fontId="11" fillId="0" borderId="15" xfId="0" applyFont="1" applyBorder="1" applyAlignment="1" applyProtection="1">
      <alignment horizontal="right"/>
      <protection/>
    </xf>
    <xf numFmtId="0" fontId="22" fillId="0" borderId="17"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0" fillId="0" borderId="15" xfId="0" applyBorder="1" applyAlignment="1" applyProtection="1">
      <alignment/>
      <protection locked="0"/>
    </xf>
    <xf numFmtId="0" fontId="0" fillId="0" borderId="16" xfId="0" applyBorder="1" applyAlignment="1">
      <alignment/>
    </xf>
    <xf numFmtId="0" fontId="0" fillId="2" borderId="18" xfId="0" applyFill="1" applyBorder="1" applyAlignment="1">
      <alignment horizontal="center" vertical="center"/>
    </xf>
    <xf numFmtId="0" fontId="0" fillId="3" borderId="19" xfId="0" applyFill="1" applyBorder="1" applyAlignment="1">
      <alignment horizontal="center" vertical="center"/>
    </xf>
    <xf numFmtId="0" fontId="0" fillId="2" borderId="20" xfId="0" applyFill="1" applyBorder="1" applyAlignment="1">
      <alignment horizontal="center" vertical="center"/>
    </xf>
    <xf numFmtId="0" fontId="0" fillId="3" borderId="21" xfId="0" applyFill="1" applyBorder="1" applyAlignment="1">
      <alignment horizontal="center" vertical="center"/>
    </xf>
    <xf numFmtId="0" fontId="0" fillId="0" borderId="20" xfId="0" applyBorder="1" applyAlignment="1" applyProtection="1">
      <alignment/>
      <protection locked="0"/>
    </xf>
    <xf numFmtId="3" fontId="0" fillId="0" borderId="22" xfId="0" applyNumberFormat="1" applyBorder="1" applyAlignment="1">
      <alignment/>
    </xf>
    <xf numFmtId="3" fontId="0" fillId="0" borderId="17" xfId="0" applyNumberFormat="1" applyBorder="1" applyAlignment="1">
      <alignment/>
    </xf>
    <xf numFmtId="0" fontId="0" fillId="2" borderId="23" xfId="0" applyFill="1" applyBorder="1" applyAlignment="1">
      <alignment/>
    </xf>
    <xf numFmtId="0" fontId="0" fillId="0" borderId="15" xfId="0" applyBorder="1" applyAlignment="1">
      <alignment/>
    </xf>
    <xf numFmtId="0" fontId="0" fillId="0" borderId="16" xfId="0" applyBorder="1" applyAlignment="1" applyProtection="1">
      <alignment/>
      <protection locked="0"/>
    </xf>
    <xf numFmtId="0" fontId="5" fillId="0" borderId="15" xfId="0" applyFont="1" applyBorder="1" applyAlignment="1">
      <alignment/>
    </xf>
    <xf numFmtId="0" fontId="0" fillId="0" borderId="16" xfId="0" applyBorder="1" applyAlignment="1" applyProtection="1">
      <alignment/>
      <protection/>
    </xf>
    <xf numFmtId="0" fontId="6" fillId="9" borderId="16" xfId="0" applyFont="1" applyFill="1" applyBorder="1" applyAlignment="1">
      <alignment horizontal="center"/>
    </xf>
    <xf numFmtId="0" fontId="0" fillId="0" borderId="15" xfId="0" applyBorder="1" applyAlignment="1" applyProtection="1">
      <alignment/>
      <protection/>
    </xf>
    <xf numFmtId="0" fontId="6" fillId="9" borderId="16" xfId="0" applyFont="1" applyFill="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4" xfId="0" applyBorder="1" applyAlignment="1">
      <alignment/>
    </xf>
    <xf numFmtId="0" fontId="0" fillId="0" borderId="29" xfId="0" applyBorder="1" applyAlignment="1">
      <alignment/>
    </xf>
    <xf numFmtId="0" fontId="21" fillId="5" borderId="20" xfId="0" applyFont="1" applyFill="1" applyBorder="1" applyAlignment="1" applyProtection="1">
      <alignment horizontal="center"/>
      <protection/>
    </xf>
    <xf numFmtId="0" fontId="21" fillId="5" borderId="2" xfId="0" applyFont="1" applyFill="1" applyBorder="1" applyAlignment="1" applyProtection="1">
      <alignment horizontal="center"/>
      <protection/>
    </xf>
    <xf numFmtId="0" fontId="21" fillId="5" borderId="22" xfId="0" applyFont="1" applyFill="1" applyBorder="1" applyAlignment="1" applyProtection="1">
      <alignment horizontal="center"/>
      <protection/>
    </xf>
    <xf numFmtId="0" fontId="5" fillId="0" borderId="2" xfId="0" applyFont="1" applyBorder="1" applyAlignment="1" applyProtection="1">
      <alignment horizontal="center"/>
      <protection/>
    </xf>
    <xf numFmtId="0" fontId="5" fillId="0" borderId="22" xfId="0" applyFont="1" applyBorder="1" applyAlignment="1" applyProtection="1">
      <alignment horizontal="center"/>
      <protection/>
    </xf>
    <xf numFmtId="0" fontId="6" fillId="10" borderId="1" xfId="0" applyFont="1" applyFill="1" applyBorder="1" applyAlignment="1">
      <alignment horizontal="center"/>
    </xf>
    <xf numFmtId="0" fontId="29" fillId="0" borderId="0" xfId="0" applyFont="1" applyAlignment="1" applyProtection="1">
      <alignment horizontal="center"/>
      <protection locked="0"/>
    </xf>
    <xf numFmtId="0" fontId="19" fillId="0" borderId="0" xfId="0" applyFont="1" applyAlignment="1">
      <alignment horizontal="right"/>
    </xf>
    <xf numFmtId="0" fontId="20" fillId="0" borderId="0" xfId="0" applyFont="1" applyAlignment="1">
      <alignment horizontal="right"/>
    </xf>
    <xf numFmtId="0" fontId="0" fillId="0" borderId="30" xfId="0" applyBorder="1" applyAlignment="1">
      <alignment horizontal="center"/>
    </xf>
    <xf numFmtId="0" fontId="0" fillId="0" borderId="31"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27" fillId="11" borderId="34" xfId="0" applyFont="1" applyFill="1" applyBorder="1" applyAlignment="1">
      <alignment horizontal="center"/>
    </xf>
    <xf numFmtId="0" fontId="27" fillId="11" borderId="35" xfId="0" applyFont="1" applyFill="1" applyBorder="1" applyAlignment="1">
      <alignment horizontal="center"/>
    </xf>
    <xf numFmtId="0" fontId="27" fillId="11" borderId="36" xfId="0" applyFont="1" applyFill="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3" fontId="0" fillId="0" borderId="30" xfId="0" applyNumberFormat="1" applyBorder="1" applyAlignment="1">
      <alignment horizontal="center"/>
    </xf>
    <xf numFmtId="0" fontId="5" fillId="0" borderId="20"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22" xfId="0" applyFont="1" applyBorder="1" applyAlignment="1" applyProtection="1">
      <alignment horizontal="center"/>
      <protection hidden="1"/>
    </xf>
    <xf numFmtId="0" fontId="11" fillId="0" borderId="15" xfId="0" applyFont="1" applyBorder="1" applyAlignment="1" applyProtection="1">
      <alignment horizontal="right"/>
      <protection/>
    </xf>
    <xf numFmtId="0" fontId="11" fillId="0" borderId="0" xfId="0" applyFont="1" applyBorder="1" applyAlignment="1" applyProtection="1">
      <alignment horizontal="right"/>
      <protection/>
    </xf>
    <xf numFmtId="0" fontId="7" fillId="5" borderId="25" xfId="0" applyFont="1" applyFill="1" applyBorder="1" applyAlignment="1" applyProtection="1">
      <alignment horizontal="center"/>
      <protection/>
    </xf>
    <xf numFmtId="0" fontId="7" fillId="5" borderId="26" xfId="0" applyFont="1" applyFill="1" applyBorder="1" applyAlignment="1" applyProtection="1">
      <alignment horizontal="center"/>
      <protection/>
    </xf>
    <xf numFmtId="0" fontId="7" fillId="5" borderId="27" xfId="0" applyFont="1" applyFill="1" applyBorder="1" applyAlignment="1" applyProtection="1">
      <alignment horizontal="center"/>
      <protection/>
    </xf>
    <xf numFmtId="0" fontId="0" fillId="12" borderId="0" xfId="0" applyFill="1" applyBorder="1" applyAlignment="1" applyProtection="1">
      <alignment horizontal="center"/>
      <protection/>
    </xf>
    <xf numFmtId="0" fontId="0" fillId="12" borderId="16" xfId="0" applyFill="1" applyBorder="1" applyAlignment="1" applyProtection="1">
      <alignment horizontal="center"/>
      <protection/>
    </xf>
    <xf numFmtId="0" fontId="5" fillId="0" borderId="20" xfId="0" applyFont="1" applyBorder="1" applyAlignment="1" applyProtection="1">
      <alignment horizontal="center"/>
      <protection/>
    </xf>
    <xf numFmtId="0" fontId="7" fillId="5" borderId="28" xfId="0" applyFont="1" applyFill="1" applyBorder="1" applyAlignment="1" applyProtection="1">
      <alignment horizontal="center"/>
      <protection/>
    </xf>
    <xf numFmtId="0" fontId="7" fillId="5" borderId="24" xfId="0" applyFont="1" applyFill="1" applyBorder="1" applyAlignment="1" applyProtection="1">
      <alignment horizontal="center"/>
      <protection/>
    </xf>
    <xf numFmtId="0" fontId="7" fillId="5" borderId="29" xfId="0" applyFont="1" applyFill="1" applyBorder="1" applyAlignment="1" applyProtection="1">
      <alignment horizontal="center"/>
      <protection/>
    </xf>
    <xf numFmtId="0" fontId="4" fillId="0" borderId="39" xfId="0" applyFont="1" applyBorder="1" applyAlignment="1">
      <alignment horizontal="center"/>
    </xf>
    <xf numFmtId="0" fontId="4" fillId="0" borderId="40" xfId="0" applyFont="1" applyBorder="1" applyAlignment="1">
      <alignment horizontal="center"/>
    </xf>
    <xf numFmtId="0" fontId="7" fillId="4" borderId="25" xfId="0" applyFont="1" applyFill="1" applyBorder="1" applyAlignment="1" applyProtection="1">
      <alignment horizontal="center"/>
      <protection/>
    </xf>
    <xf numFmtId="0" fontId="7" fillId="4" borderId="26" xfId="0" applyFont="1" applyFill="1" applyBorder="1" applyAlignment="1" applyProtection="1">
      <alignment horizontal="center"/>
      <protection/>
    </xf>
    <xf numFmtId="0" fontId="7" fillId="4" borderId="27" xfId="0" applyFont="1" applyFill="1" applyBorder="1" applyAlignment="1" applyProtection="1">
      <alignment horizontal="center"/>
      <protection/>
    </xf>
    <xf numFmtId="0" fontId="7" fillId="4" borderId="28" xfId="0" applyFont="1" applyFill="1" applyBorder="1" applyAlignment="1" applyProtection="1">
      <alignment horizontal="center"/>
      <protection/>
    </xf>
    <xf numFmtId="0" fontId="7" fillId="4" borderId="24" xfId="0" applyFont="1" applyFill="1" applyBorder="1" applyAlignment="1" applyProtection="1">
      <alignment horizontal="center"/>
      <protection/>
    </xf>
    <xf numFmtId="0" fontId="7" fillId="4" borderId="29" xfId="0" applyFont="1" applyFill="1" applyBorder="1" applyAlignment="1" applyProtection="1">
      <alignment horizontal="center"/>
      <protection/>
    </xf>
    <xf numFmtId="0" fontId="13" fillId="5" borderId="39" xfId="0" applyFont="1" applyFill="1" applyBorder="1" applyAlignment="1" applyProtection="1">
      <alignment horizontal="center"/>
      <protection/>
    </xf>
    <xf numFmtId="0" fontId="13" fillId="5" borderId="40" xfId="0" applyFont="1" applyFill="1" applyBorder="1" applyAlignment="1" applyProtection="1">
      <alignment horizontal="center"/>
      <protection/>
    </xf>
    <xf numFmtId="0" fontId="12" fillId="4" borderId="39" xfId="0" applyFont="1" applyFill="1" applyBorder="1" applyAlignment="1" applyProtection="1">
      <alignment horizontal="center"/>
      <protection/>
    </xf>
    <xf numFmtId="0" fontId="12" fillId="4" borderId="40" xfId="0" applyFont="1" applyFill="1" applyBorder="1" applyAlignment="1" applyProtection="1">
      <alignment horizontal="center"/>
      <protection/>
    </xf>
    <xf numFmtId="0" fontId="8" fillId="13" borderId="25" xfId="0" applyFont="1" applyFill="1" applyBorder="1" applyAlignment="1">
      <alignment horizontal="center"/>
    </xf>
    <xf numFmtId="0" fontId="8" fillId="13" borderId="26" xfId="0" applyFont="1" applyFill="1" applyBorder="1" applyAlignment="1">
      <alignment horizontal="center"/>
    </xf>
    <xf numFmtId="0" fontId="8" fillId="13" borderId="27" xfId="0" applyFont="1" applyFill="1" applyBorder="1" applyAlignment="1">
      <alignment horizontal="center"/>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10" fillId="0" borderId="15"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16" xfId="0" applyFont="1" applyBorder="1" applyAlignment="1" applyProtection="1">
      <alignment horizontal="center"/>
      <protection/>
    </xf>
    <xf numFmtId="0" fontId="11" fillId="0" borderId="15"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6" xfId="0" applyFont="1" applyBorder="1" applyAlignment="1" applyProtection="1">
      <alignment horizontal="center"/>
      <protection/>
    </xf>
    <xf numFmtId="0" fontId="7" fillId="6" borderId="39" xfId="0" applyFont="1" applyFill="1" applyBorder="1" applyAlignment="1" applyProtection="1">
      <alignment horizontal="center"/>
      <protection/>
    </xf>
    <xf numFmtId="0" fontId="7" fillId="6" borderId="40" xfId="0" applyFont="1" applyFill="1" applyBorder="1" applyAlignment="1" applyProtection="1">
      <alignment horizontal="center"/>
      <protection/>
    </xf>
    <xf numFmtId="0" fontId="7" fillId="7" borderId="39" xfId="0" applyFont="1" applyFill="1" applyBorder="1" applyAlignment="1" applyProtection="1">
      <alignment horizontal="center"/>
      <protection/>
    </xf>
    <xf numFmtId="0" fontId="7" fillId="7" borderId="40" xfId="0" applyFont="1" applyFill="1" applyBorder="1" applyAlignment="1" applyProtection="1">
      <alignment horizontal="center"/>
      <protection/>
    </xf>
    <xf numFmtId="0" fontId="7" fillId="6" borderId="25" xfId="0" applyFont="1" applyFill="1" applyBorder="1" applyAlignment="1" applyProtection="1">
      <alignment horizontal="center"/>
      <protection hidden="1"/>
    </xf>
    <xf numFmtId="0" fontId="7" fillId="6" borderId="26" xfId="0" applyFont="1" applyFill="1" applyBorder="1" applyAlignment="1" applyProtection="1">
      <alignment horizontal="center"/>
      <protection hidden="1"/>
    </xf>
    <xf numFmtId="0" fontId="7" fillId="6" borderId="27" xfId="0" applyFont="1" applyFill="1" applyBorder="1" applyAlignment="1" applyProtection="1">
      <alignment horizontal="center"/>
      <protection hidden="1"/>
    </xf>
    <xf numFmtId="0" fontId="7" fillId="6" borderId="28" xfId="0" applyFont="1" applyFill="1" applyBorder="1" applyAlignment="1" applyProtection="1">
      <alignment horizontal="center"/>
      <protection hidden="1"/>
    </xf>
    <xf numFmtId="0" fontId="7" fillId="6" borderId="24" xfId="0" applyFont="1" applyFill="1" applyBorder="1" applyAlignment="1" applyProtection="1">
      <alignment horizontal="center"/>
      <protection hidden="1"/>
    </xf>
    <xf numFmtId="0" fontId="7" fillId="6" borderId="29" xfId="0" applyFont="1" applyFill="1" applyBorder="1" applyAlignment="1" applyProtection="1">
      <alignment horizontal="center"/>
      <protection hidden="1"/>
    </xf>
    <xf numFmtId="0" fontId="7" fillId="7" borderId="25" xfId="0" applyFont="1" applyFill="1" applyBorder="1" applyAlignment="1" applyProtection="1">
      <alignment horizontal="center"/>
      <protection hidden="1"/>
    </xf>
    <xf numFmtId="0" fontId="7" fillId="7" borderId="26" xfId="0" applyFont="1" applyFill="1" applyBorder="1" applyAlignment="1" applyProtection="1">
      <alignment horizontal="center"/>
      <protection hidden="1"/>
    </xf>
    <xf numFmtId="0" fontId="7" fillId="7" borderId="27" xfId="0" applyFont="1" applyFill="1" applyBorder="1" applyAlignment="1" applyProtection="1">
      <alignment horizontal="center"/>
      <protection hidden="1"/>
    </xf>
    <xf numFmtId="0" fontId="7" fillId="7" borderId="28" xfId="0" applyFont="1" applyFill="1" applyBorder="1" applyAlignment="1" applyProtection="1">
      <alignment horizontal="center"/>
      <protection hidden="1"/>
    </xf>
    <xf numFmtId="0" fontId="7" fillId="7" borderId="24" xfId="0" applyFont="1" applyFill="1" applyBorder="1" applyAlignment="1" applyProtection="1">
      <alignment horizontal="center"/>
      <protection hidden="1"/>
    </xf>
    <xf numFmtId="0" fontId="7" fillId="7" borderId="29" xfId="0" applyFont="1" applyFill="1" applyBorder="1" applyAlignment="1" applyProtection="1">
      <alignment horizontal="center"/>
      <protection hidden="1"/>
    </xf>
    <xf numFmtId="0" fontId="5" fillId="6" borderId="41" xfId="0" applyFont="1" applyFill="1" applyBorder="1" applyAlignment="1" applyProtection="1">
      <alignment horizontal="center"/>
      <protection hidden="1"/>
    </xf>
    <xf numFmtId="0" fontId="5" fillId="6" borderId="42" xfId="0" applyFont="1" applyFill="1" applyBorder="1" applyAlignment="1" applyProtection="1">
      <alignment horizontal="center"/>
      <protection hidden="1"/>
    </xf>
    <xf numFmtId="0" fontId="5" fillId="6" borderId="43" xfId="0" applyFont="1" applyFill="1" applyBorder="1" applyAlignment="1" applyProtection="1">
      <alignment horizontal="center"/>
      <protection hidden="1"/>
    </xf>
    <xf numFmtId="0" fontId="26" fillId="0" borderId="15" xfId="0" applyFont="1" applyBorder="1" applyAlignment="1">
      <alignment horizontal="center"/>
    </xf>
    <xf numFmtId="0" fontId="26" fillId="0" borderId="0" xfId="0" applyFont="1" applyBorder="1" applyAlignment="1">
      <alignment horizontal="center"/>
    </xf>
    <xf numFmtId="0" fontId="26" fillId="0" borderId="16" xfId="0" applyFont="1" applyBorder="1" applyAlignment="1">
      <alignment horizontal="center"/>
    </xf>
    <xf numFmtId="0" fontId="5" fillId="7" borderId="41" xfId="0" applyFont="1" applyFill="1" applyBorder="1" applyAlignment="1" applyProtection="1">
      <alignment horizontal="center"/>
      <protection hidden="1"/>
    </xf>
    <xf numFmtId="0" fontId="5" fillId="7" borderId="42" xfId="0" applyFont="1" applyFill="1" applyBorder="1" applyAlignment="1" applyProtection="1">
      <alignment horizontal="center"/>
      <protection hidden="1"/>
    </xf>
    <xf numFmtId="0" fontId="5" fillId="7" borderId="43" xfId="0" applyFont="1" applyFill="1" applyBorder="1" applyAlignment="1" applyProtection="1">
      <alignment horizontal="center"/>
      <protection hidden="1"/>
    </xf>
    <xf numFmtId="0" fontId="0" fillId="0" borderId="32" xfId="0" applyBorder="1" applyAlignment="1">
      <alignment horizontal="center"/>
    </xf>
    <xf numFmtId="0" fontId="0" fillId="0" borderId="33" xfId="0" applyBorder="1" applyAlignment="1">
      <alignment horizontal="center"/>
    </xf>
    <xf numFmtId="3" fontId="0" fillId="0" borderId="32" xfId="0" applyNumberFormat="1" applyBorder="1" applyAlignment="1">
      <alignment horizontal="center"/>
    </xf>
    <xf numFmtId="3" fontId="0" fillId="0" borderId="37" xfId="0" applyNumberFormat="1" applyBorder="1" applyAlignment="1">
      <alignment horizontal="center"/>
    </xf>
    <xf numFmtId="0" fontId="25" fillId="0" borderId="0" xfId="0" applyFont="1" applyAlignment="1">
      <alignment horizontal="left"/>
    </xf>
    <xf numFmtId="0" fontId="16" fillId="0" borderId="0" xfId="0" applyFont="1" applyAlignment="1">
      <alignment horizontal="center"/>
    </xf>
    <xf numFmtId="0" fontId="18" fillId="0" borderId="0" xfId="0" applyFont="1" applyBorder="1" applyAlignment="1">
      <alignment horizontal="center"/>
    </xf>
    <xf numFmtId="0" fontId="2" fillId="0" borderId="0" xfId="0" applyFont="1" applyBorder="1" applyAlignment="1">
      <alignment horizontal="center"/>
    </xf>
    <xf numFmtId="0" fontId="17" fillId="0" borderId="0" xfId="0" applyFont="1" applyBorder="1" applyAlignment="1">
      <alignment horizontal="center"/>
    </xf>
    <xf numFmtId="0" fontId="0" fillId="0" borderId="44" xfId="0" applyBorder="1" applyAlignment="1">
      <alignment/>
    </xf>
    <xf numFmtId="0" fontId="0" fillId="0" borderId="45" xfId="0" applyBorder="1" applyAlignment="1">
      <alignment/>
    </xf>
    <xf numFmtId="0" fontId="0" fillId="0" borderId="46" xfId="0" applyBorder="1" applyAlignment="1">
      <alignment horizontal="left"/>
    </xf>
    <xf numFmtId="0" fontId="0" fillId="0" borderId="4" xfId="0" applyBorder="1" applyAlignment="1">
      <alignment horizontal="left"/>
    </xf>
    <xf numFmtId="0" fontId="5" fillId="14" borderId="46" xfId="0" applyFont="1" applyFill="1" applyBorder="1" applyAlignment="1">
      <alignment horizontal="center"/>
    </xf>
    <xf numFmtId="0" fontId="5" fillId="14" borderId="7" xfId="0" applyFont="1" applyFill="1" applyBorder="1" applyAlignment="1">
      <alignment horizontal="center"/>
    </xf>
    <xf numFmtId="0" fontId="23" fillId="5" borderId="46" xfId="0" applyFont="1" applyFill="1" applyBorder="1" applyAlignment="1">
      <alignment horizontal="center"/>
    </xf>
    <xf numFmtId="0" fontId="23" fillId="5" borderId="4" xfId="0" applyFont="1" applyFill="1" applyBorder="1" applyAlignment="1">
      <alignment horizontal="center"/>
    </xf>
    <xf numFmtId="0" fontId="23" fillId="5" borderId="7" xfId="0" applyFont="1" applyFill="1" applyBorder="1" applyAlignment="1">
      <alignment horizontal="center"/>
    </xf>
    <xf numFmtId="0" fontId="5" fillId="12" borderId="1" xfId="0" applyFont="1" applyFill="1" applyBorder="1" applyAlignment="1">
      <alignment horizontal="center"/>
    </xf>
    <xf numFmtId="0" fontId="5" fillId="4" borderId="47" xfId="0" applyFont="1" applyFill="1" applyBorder="1" applyAlignment="1" applyProtection="1">
      <alignment horizontal="center"/>
      <protection/>
    </xf>
    <xf numFmtId="0" fontId="5" fillId="4" borderId="48" xfId="0" applyFont="1" applyFill="1" applyBorder="1" applyAlignment="1" applyProtection="1">
      <alignment horizontal="center"/>
      <protection/>
    </xf>
    <xf numFmtId="0" fontId="5" fillId="4" borderId="49" xfId="0" applyFont="1" applyFill="1" applyBorder="1" applyAlignment="1" applyProtection="1">
      <alignment horizontal="center"/>
      <protection/>
    </xf>
    <xf numFmtId="0" fontId="32" fillId="0" borderId="0" xfId="0" applyFont="1" applyAlignment="1">
      <alignment/>
    </xf>
    <xf numFmtId="0" fontId="32" fillId="0" borderId="0" xfId="0" applyNumberFormat="1" applyFont="1" applyAlignment="1">
      <alignment/>
    </xf>
    <xf numFmtId="0" fontId="32" fillId="0" borderId="0" xfId="0" applyNumberFormat="1" applyFont="1" applyBorder="1" applyAlignment="1">
      <alignment/>
    </xf>
    <xf numFmtId="0" fontId="32" fillId="0" borderId="0" xfId="0" applyNumberFormat="1" applyFont="1" applyBorder="1" applyAlignment="1" applyProtection="1">
      <alignment/>
      <protection locked="0"/>
    </xf>
    <xf numFmtId="0" fontId="32" fillId="0" borderId="0" xfId="0" applyNumberFormat="1" applyFont="1" applyAlignment="1" applyProtection="1">
      <alignment/>
      <protection locked="0"/>
    </xf>
    <xf numFmtId="0" fontId="32" fillId="0" borderId="0" xfId="0" applyNumberFormat="1" applyFont="1" applyFill="1" applyBorder="1" applyAlignment="1">
      <alignment/>
    </xf>
    <xf numFmtId="0" fontId="32" fillId="0" borderId="0" xfId="0" applyNumberFormat="1" applyFont="1" applyFill="1" applyBorder="1" applyAlignment="1" applyProtection="1">
      <alignment/>
      <protection hidden="1"/>
    </xf>
    <xf numFmtId="0" fontId="33" fillId="0" borderId="0" xfId="0" applyNumberFormat="1" applyFont="1" applyFill="1" applyBorder="1" applyAlignment="1" applyProtection="1">
      <alignment horizontal="center"/>
      <protection hidden="1"/>
    </xf>
    <xf numFmtId="0" fontId="34" fillId="0" borderId="0" xfId="0" applyNumberFormat="1" applyFont="1" applyFill="1" applyBorder="1" applyAlignment="1" applyProtection="1">
      <alignment/>
      <protection hidden="1"/>
    </xf>
    <xf numFmtId="0" fontId="32" fillId="0" borderId="0"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center"/>
      <protection hidden="1"/>
    </xf>
    <xf numFmtId="0" fontId="6" fillId="0" borderId="0" xfId="0" applyNumberFormat="1" applyFont="1" applyFill="1" applyBorder="1" applyAlignment="1">
      <alignment horizontal="center"/>
    </xf>
    <xf numFmtId="0" fontId="6" fillId="0" borderId="0" xfId="0" applyNumberFormat="1" applyFont="1" applyFill="1" applyBorder="1" applyAlignment="1" applyProtection="1">
      <alignment/>
      <protection hidden="1"/>
    </xf>
    <xf numFmtId="0" fontId="32" fillId="0" borderId="0" xfId="21" applyNumberFormat="1" applyFont="1" applyFill="1" applyBorder="1" applyAlignment="1" applyProtection="1">
      <alignment/>
      <protection hidden="1"/>
    </xf>
    <xf numFmtId="0" fontId="6" fillId="0" borderId="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right"/>
      <protection hidden="1"/>
    </xf>
    <xf numFmtId="0" fontId="32" fillId="0" borderId="0" xfId="0" applyNumberFormat="1" applyFont="1" applyFill="1" applyBorder="1" applyAlignment="1" applyProtection="1">
      <alignment horizontal="right"/>
      <protection hidden="1"/>
    </xf>
    <xf numFmtId="0" fontId="32" fillId="0" borderId="0" xfId="0" applyNumberFormat="1" applyFont="1" applyFill="1" applyBorder="1" applyAlignment="1" applyProtection="1">
      <alignment horizontal="center"/>
      <protection hidden="1"/>
    </xf>
    <xf numFmtId="0" fontId="35" fillId="0" borderId="0" xfId="0" applyNumberFormat="1" applyFont="1" applyFill="1" applyBorder="1" applyAlignment="1" applyProtection="1">
      <alignment/>
      <protection hidden="1"/>
    </xf>
    <xf numFmtId="0" fontId="32" fillId="0" borderId="0" xfId="0" applyNumberFormat="1" applyFont="1" applyFill="1" applyBorder="1" applyAlignment="1" applyProtection="1">
      <alignment/>
      <protection hidden="1" locked="0"/>
    </xf>
    <xf numFmtId="0" fontId="27" fillId="0" borderId="0" xfId="0" applyNumberFormat="1" applyFont="1" applyFill="1" applyBorder="1" applyAlignment="1" applyProtection="1">
      <alignment horizontal="center"/>
      <protection hidden="1"/>
    </xf>
    <xf numFmtId="0" fontId="36" fillId="0" borderId="0" xfId="0" applyNumberFormat="1" applyFont="1" applyFill="1" applyBorder="1" applyAlignment="1" applyProtection="1">
      <alignment/>
      <protection hidden="1"/>
    </xf>
    <xf numFmtId="0" fontId="3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lignment horizontal="center"/>
    </xf>
    <xf numFmtId="0" fontId="32" fillId="12" borderId="0" xfId="0" applyNumberFormat="1" applyFont="1" applyFill="1" applyBorder="1" applyAlignment="1">
      <alignment horizontal="center"/>
    </xf>
    <xf numFmtId="0" fontId="32" fillId="12" borderId="0" xfId="0" applyNumberFormat="1" applyFont="1" applyFill="1" applyAlignment="1">
      <alignment horizontal="center"/>
    </xf>
    <xf numFmtId="0" fontId="6" fillId="0" borderId="0" xfId="0" applyNumberFormat="1" applyFont="1" applyFill="1" applyBorder="1" applyAlignment="1">
      <alignment/>
    </xf>
    <xf numFmtId="0" fontId="32" fillId="0" borderId="0" xfId="0" applyNumberFormat="1" applyFont="1" applyFill="1" applyBorder="1" applyAlignment="1">
      <alignment horizontal="right"/>
    </xf>
    <xf numFmtId="0" fontId="6" fillId="15" borderId="0" xfId="0" applyNumberFormat="1" applyFont="1" applyFill="1" applyAlignment="1">
      <alignment/>
    </xf>
    <xf numFmtId="0" fontId="3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right"/>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2" fillId="0" borderId="0" xfId="0" applyNumberFormat="1"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lub-quintessence.fr/" TargetMode="External" /><Relationship Id="rId3" Type="http://schemas.openxmlformats.org/officeDocument/2006/relationships/hyperlink" Target="http://www.club-quintessence.fr/" TargetMode="External" /><Relationship Id="rId4" Type="http://schemas.openxmlformats.org/officeDocument/2006/relationships/hyperlink" Target="http://www.club-quintessence.fr/" TargetMode="External" /><Relationship Id="rId5" Type="http://schemas.openxmlformats.org/officeDocument/2006/relationships/hyperlink" Target="http://www.club-quintessence.fr/" TargetMode="External" /><Relationship Id="rId6" Type="http://schemas.openxmlformats.org/officeDocument/2006/relationships/image" Target="../media/image2.png" /><Relationship Id="rId7" Type="http://schemas.openxmlformats.org/officeDocument/2006/relationships/hyperlink" Target="http://www.club-quintessence.fr/" TargetMode="External" /><Relationship Id="rId8" Type="http://schemas.openxmlformats.org/officeDocument/2006/relationships/hyperlink" Target="http://www.club-quintessence.f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63</xdr:row>
      <xdr:rowOff>28575</xdr:rowOff>
    </xdr:from>
    <xdr:to>
      <xdr:col>13</xdr:col>
      <xdr:colOff>390525</xdr:colOff>
      <xdr:row>65</xdr:row>
      <xdr:rowOff>142875</xdr:rowOff>
    </xdr:to>
    <xdr:sp>
      <xdr:nvSpPr>
        <xdr:cNvPr id="1" name="Oval 59"/>
        <xdr:cNvSpPr>
          <a:spLocks/>
        </xdr:cNvSpPr>
      </xdr:nvSpPr>
      <xdr:spPr>
        <a:xfrm>
          <a:off x="9734550" y="11306175"/>
          <a:ext cx="1000125" cy="600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60</xdr:row>
      <xdr:rowOff>133350</xdr:rowOff>
    </xdr:from>
    <xdr:to>
      <xdr:col>14</xdr:col>
      <xdr:colOff>238125</xdr:colOff>
      <xdr:row>67</xdr:row>
      <xdr:rowOff>142875</xdr:rowOff>
    </xdr:to>
    <xdr:sp>
      <xdr:nvSpPr>
        <xdr:cNvPr id="2" name="Rectangle 60"/>
        <xdr:cNvSpPr>
          <a:spLocks/>
        </xdr:cNvSpPr>
      </xdr:nvSpPr>
      <xdr:spPr>
        <a:xfrm>
          <a:off x="9124950" y="10791825"/>
          <a:ext cx="2219325" cy="14763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114300</xdr:colOff>
      <xdr:row>40</xdr:row>
      <xdr:rowOff>47625</xdr:rowOff>
    </xdr:from>
    <xdr:to>
      <xdr:col>3</xdr:col>
      <xdr:colOff>1057275</xdr:colOff>
      <xdr:row>46</xdr:row>
      <xdr:rowOff>133350</xdr:rowOff>
    </xdr:to>
    <xdr:pic>
      <xdr:nvPicPr>
        <xdr:cNvPr id="3" name="Picture 96">
          <a:hlinkClick r:id="rId3"/>
        </xdr:cNvPr>
        <xdr:cNvPicPr preferRelativeResize="1">
          <a:picLocks noChangeAspect="1"/>
        </xdr:cNvPicPr>
      </xdr:nvPicPr>
      <xdr:blipFill>
        <a:blip r:embed="rId1"/>
        <a:stretch>
          <a:fillRect/>
        </a:stretch>
      </xdr:blipFill>
      <xdr:spPr>
        <a:xfrm>
          <a:off x="2409825" y="7124700"/>
          <a:ext cx="942975" cy="1123950"/>
        </a:xfrm>
        <a:prstGeom prst="rect">
          <a:avLst/>
        </a:prstGeom>
        <a:noFill/>
        <a:ln w="9525" cmpd="sng">
          <a:noFill/>
        </a:ln>
      </xdr:spPr>
    </xdr:pic>
    <xdr:clientData/>
  </xdr:twoCellAnchor>
  <xdr:twoCellAnchor editAs="oneCell">
    <xdr:from>
      <xdr:col>10</xdr:col>
      <xdr:colOff>276225</xdr:colOff>
      <xdr:row>95</xdr:row>
      <xdr:rowOff>76200</xdr:rowOff>
    </xdr:from>
    <xdr:to>
      <xdr:col>11</xdr:col>
      <xdr:colOff>600075</xdr:colOff>
      <xdr:row>102</xdr:row>
      <xdr:rowOff>66675</xdr:rowOff>
    </xdr:to>
    <xdr:pic>
      <xdr:nvPicPr>
        <xdr:cNvPr id="4" name="Picture 97">
          <a:hlinkClick r:id="rId5"/>
        </xdr:cNvPr>
        <xdr:cNvPicPr preferRelativeResize="1">
          <a:picLocks noChangeAspect="1"/>
        </xdr:cNvPicPr>
      </xdr:nvPicPr>
      <xdr:blipFill>
        <a:blip r:embed="rId1"/>
        <a:stretch>
          <a:fillRect/>
        </a:stretch>
      </xdr:blipFill>
      <xdr:spPr>
        <a:xfrm>
          <a:off x="8486775" y="16954500"/>
          <a:ext cx="942975" cy="1123950"/>
        </a:xfrm>
        <a:prstGeom prst="rect">
          <a:avLst/>
        </a:prstGeom>
        <a:noFill/>
        <a:ln w="9525" cmpd="sng">
          <a:noFill/>
        </a:ln>
      </xdr:spPr>
    </xdr:pic>
    <xdr:clientData/>
  </xdr:twoCellAnchor>
  <xdr:twoCellAnchor editAs="oneCell">
    <xdr:from>
      <xdr:col>7</xdr:col>
      <xdr:colOff>152400</xdr:colOff>
      <xdr:row>58</xdr:row>
      <xdr:rowOff>9525</xdr:rowOff>
    </xdr:from>
    <xdr:to>
      <xdr:col>9</xdr:col>
      <xdr:colOff>390525</xdr:colOff>
      <xdr:row>66</xdr:row>
      <xdr:rowOff>171450</xdr:rowOff>
    </xdr:to>
    <xdr:pic>
      <xdr:nvPicPr>
        <xdr:cNvPr id="5" name="Picture 98">
          <a:hlinkClick r:id="rId8"/>
        </xdr:cNvPr>
        <xdr:cNvPicPr preferRelativeResize="1">
          <a:picLocks noChangeAspect="1"/>
        </xdr:cNvPicPr>
      </xdr:nvPicPr>
      <xdr:blipFill>
        <a:blip r:embed="rId6"/>
        <a:stretch>
          <a:fillRect/>
        </a:stretch>
      </xdr:blipFill>
      <xdr:spPr>
        <a:xfrm>
          <a:off x="6296025" y="10172700"/>
          <a:ext cx="1619250" cy="1924050"/>
        </a:xfrm>
        <a:prstGeom prst="rect">
          <a:avLst/>
        </a:prstGeom>
        <a:noFill/>
        <a:ln w="9525" cmpd="sng">
          <a:noFill/>
        </a:ln>
      </xdr:spPr>
    </xdr:pic>
    <xdr:clientData/>
  </xdr:twoCellAnchor>
  <xdr:twoCellAnchor>
    <xdr:from>
      <xdr:col>0</xdr:col>
      <xdr:colOff>466725</xdr:colOff>
      <xdr:row>68</xdr:row>
      <xdr:rowOff>142875</xdr:rowOff>
    </xdr:from>
    <xdr:to>
      <xdr:col>6</xdr:col>
      <xdr:colOff>247650</xdr:colOff>
      <xdr:row>92</xdr:row>
      <xdr:rowOff>66675</xdr:rowOff>
    </xdr:to>
    <xdr:sp>
      <xdr:nvSpPr>
        <xdr:cNvPr id="6" name="TextBox 99"/>
        <xdr:cNvSpPr txBox="1">
          <a:spLocks noChangeArrowheads="1"/>
        </xdr:cNvSpPr>
      </xdr:nvSpPr>
      <xdr:spPr>
        <a:xfrm>
          <a:off x="466725" y="12430125"/>
          <a:ext cx="4972050" cy="4029075"/>
        </a:xfrm>
        <a:prstGeom prst="rect">
          <a:avLst/>
        </a:prstGeom>
        <a:solidFill>
          <a:srgbClr val="FFFFFF"/>
        </a:solidFill>
        <a:ln w="38100" cmpd="dbl">
          <a:solidFill>
            <a:srgbClr val="3366FF"/>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solidFill>
                <a:srgbClr val="3366FF"/>
              </a:solidFill>
              <a:latin typeface="Arial"/>
              <a:ea typeface="Arial"/>
              <a:cs typeface="Arial"/>
            </a:rPr>
            <a:t>Conseil D'utilisation :</a:t>
          </a:r>
          <a:r>
            <a:rPr lang="en-US" cap="none" sz="1000" b="0" i="0" u="none" baseline="0">
              <a:latin typeface="Arial"/>
              <a:ea typeface="Arial"/>
              <a:cs typeface="Arial"/>
            </a:rPr>
            <a:t>
</a:t>
          </a:r>
          <a:r>
            <a:rPr lang="en-US" cap="none" sz="1000" b="1" i="0" u="sng" baseline="0">
              <a:latin typeface="Arial"/>
              <a:ea typeface="Arial"/>
              <a:cs typeface="Arial"/>
            </a:rPr>
            <a:t>1) Valeur des jetons:</a:t>
          </a:r>
          <a:r>
            <a:rPr lang="en-US" cap="none" sz="1000" b="0" i="0" u="none" baseline="0">
              <a:latin typeface="Arial"/>
              <a:ea typeface="Arial"/>
              <a:cs typeface="Arial"/>
            </a:rPr>
            <a:t>
Si vous modifiez la valeur des jetons, toujours indiquer les valeurs dans l'ordre croissant, c'est-à-dire en commençant par plus petite valeur dans la première case en haut.
Vous pouvez a présent changer le nom et l'ordre des couleurs.
</a:t>
          </a:r>
          <a:r>
            <a:rPr lang="en-US" cap="none" sz="1000" b="1" i="0" u="sng" baseline="0">
              <a:latin typeface="Arial"/>
              <a:ea typeface="Arial"/>
              <a:cs typeface="Arial"/>
            </a:rPr>
            <a:t>2) le tableau des SCHEDULE BLINDS:</a:t>
          </a:r>
          <a:r>
            <a:rPr lang="en-US" cap="none" sz="1000" b="0" i="0" u="none" baseline="0">
              <a:latin typeface="Arial"/>
              <a:ea typeface="Arial"/>
              <a:cs typeface="Arial"/>
            </a:rPr>
            <a:t>
Essayer autant que possible de donner a vos jetons des valeurs régulières.
Par exemple si vous avez trois couleurs de jetons, préférez leur donner comme valeur 5,10,et 25, plutôt que 5,10 et 100. Dans ce dernier exemple, vous créez un décroché dans les valeurs, et vous allez retrouver ce décroché dans le tableau des SCHEDULE BLINDS.
En effet, le calcul automatique des blinds va prendre en compte la valeur de vos jetons et leur nombre, et dans notre dernier exemple, il serait difficile au joueur d'avoir des blinds de 50 ou 75, car il faudrait à chaque fois utiliser un grand nombre de jetons 5 et 10.
</a:t>
          </a:r>
          <a:r>
            <a:rPr lang="en-US" cap="none" sz="1000" b="1" i="0" u="sng" baseline="0">
              <a:latin typeface="Arial"/>
              <a:ea typeface="Arial"/>
              <a:cs typeface="Arial"/>
            </a:rPr>
            <a:t>3) Arrondir les caves</a:t>
          </a:r>
          <a:r>
            <a:rPr lang="en-US" cap="none" sz="1000" b="0" i="0" u="none" baseline="0">
              <a:latin typeface="Arial"/>
              <a:ea typeface="Arial"/>
              <a:cs typeface="Arial"/>
            </a:rPr>
            <a:t>
Il est désormais possible d'arrondir le montant des caves à 5 prêt, ou 10 ou  50 ou 100.
</a:t>
          </a:r>
          <a:r>
            <a:rPr lang="en-US" cap="none" sz="1000" b="0" i="1" u="sng" baseline="0">
              <a:latin typeface="Arial"/>
              <a:ea typeface="Arial"/>
              <a:cs typeface="Arial"/>
            </a:rPr>
            <a:t>Exemple :</a:t>
          </a:r>
          <a:r>
            <a:rPr lang="en-US" cap="none" sz="1000" b="0" i="0" u="none" baseline="0">
              <a:latin typeface="Arial"/>
              <a:ea typeface="Arial"/>
              <a:cs typeface="Arial"/>
            </a:rPr>
            <a:t> 
- Une cave calculée automatiquement de 610 sera arrondi à 600 si vous sélectionnez 50.
- Une cave calculée automatiquement de 615 sera arrondi à 610 si vous sélectionnez 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41"/>
  <sheetViews>
    <sheetView showGridLines="0" tabSelected="1" workbookViewId="0" topLeftCell="A1">
      <selection activeCell="A5" sqref="A5"/>
    </sheetView>
  </sheetViews>
  <sheetFormatPr defaultColWidth="11.421875" defaultRowHeight="12.75"/>
  <cols>
    <col min="1" max="1" width="13.00390625" style="0" customWidth="1"/>
    <col min="2" max="2" width="10.00390625" style="0" customWidth="1"/>
    <col min="4" max="4" width="17.421875" style="0" customWidth="1"/>
    <col min="5" max="5" width="13.28125" style="0" customWidth="1"/>
    <col min="6" max="6" width="12.7109375" style="0" customWidth="1"/>
    <col min="7" max="7" width="14.28125" style="0" customWidth="1"/>
    <col min="8" max="8" width="13.00390625" style="0" customWidth="1"/>
    <col min="9" max="9" width="7.7109375" style="0" customWidth="1"/>
    <col min="10" max="10" width="10.28125" style="0" customWidth="1"/>
    <col min="11" max="11" width="9.28125" style="0" customWidth="1"/>
    <col min="13" max="13" width="11.28125" style="0" customWidth="1"/>
    <col min="15" max="15" width="17.28125" style="0" customWidth="1"/>
    <col min="16" max="16" width="13.421875" style="0" customWidth="1"/>
    <col min="17" max="17" width="11.8515625" style="0" customWidth="1"/>
    <col min="20" max="20" width="13.28125" style="0" customWidth="1"/>
  </cols>
  <sheetData>
    <row r="1" spans="1:8" ht="21">
      <c r="A1" s="148" t="s">
        <v>166</v>
      </c>
      <c r="B1" s="149"/>
      <c r="C1" s="149"/>
      <c r="D1" s="149"/>
      <c r="E1" s="149"/>
      <c r="F1" s="149"/>
      <c r="G1" s="150"/>
      <c r="H1" s="27"/>
    </row>
    <row r="2" spans="1:8" ht="13.5" thickBot="1">
      <c r="A2" s="151" t="s">
        <v>98</v>
      </c>
      <c r="B2" s="152"/>
      <c r="C2" s="152"/>
      <c r="D2" s="152"/>
      <c r="E2" s="152"/>
      <c r="F2" s="152"/>
      <c r="G2" s="153"/>
      <c r="H2" s="24"/>
    </row>
    <row r="3" spans="1:15" ht="18">
      <c r="A3" s="154" t="s">
        <v>167</v>
      </c>
      <c r="B3" s="155"/>
      <c r="C3" s="155"/>
      <c r="D3" s="155"/>
      <c r="E3" s="155"/>
      <c r="F3" s="155"/>
      <c r="G3" s="156"/>
      <c r="H3" s="25"/>
      <c r="K3" s="97"/>
      <c r="L3" s="98"/>
      <c r="M3" s="98"/>
      <c r="N3" s="98"/>
      <c r="O3" s="99"/>
    </row>
    <row r="4" spans="1:15" ht="15">
      <c r="A4" s="157" t="s">
        <v>234</v>
      </c>
      <c r="B4" s="158"/>
      <c r="C4" s="158"/>
      <c r="D4" s="158"/>
      <c r="E4" s="158"/>
      <c r="F4" s="158"/>
      <c r="G4" s="159"/>
      <c r="H4" s="26"/>
      <c r="K4" s="89"/>
      <c r="L4" s="34" t="s">
        <v>189</v>
      </c>
      <c r="M4" s="34" t="s">
        <v>190</v>
      </c>
      <c r="N4" s="34"/>
      <c r="O4" s="80"/>
    </row>
    <row r="5" spans="1:15" ht="15">
      <c r="A5" s="73"/>
      <c r="B5" s="61"/>
      <c r="C5" s="61"/>
      <c r="D5" s="61"/>
      <c r="E5" s="61"/>
      <c r="F5" s="61"/>
      <c r="G5" s="72"/>
      <c r="H5" s="21"/>
      <c r="K5" s="89"/>
      <c r="L5" s="34" t="s">
        <v>191</v>
      </c>
      <c r="M5" s="34" t="s">
        <v>192</v>
      </c>
      <c r="N5" s="34"/>
      <c r="O5" s="80"/>
    </row>
    <row r="6" spans="1:15" ht="15">
      <c r="A6" s="74" t="s">
        <v>99</v>
      </c>
      <c r="B6" s="62"/>
      <c r="C6" s="62"/>
      <c r="D6" s="61"/>
      <c r="E6" s="63" t="str">
        <f>IF($D$127=1,"Your Poker :",IF($D$127=2,"Ihr Poker :",IF($D$127=3,"Vostro Poker :",IF($D$127=4,"Votre Poker :",IF($D$127=5,"Su Poker :",IF($D$127=6,"Seu Poker :","RED"))))))</f>
        <v>Votre Poker :</v>
      </c>
      <c r="F6" s="61"/>
      <c r="G6" s="72"/>
      <c r="H6" s="21"/>
      <c r="K6" s="89"/>
      <c r="L6" s="34" t="s">
        <v>202</v>
      </c>
      <c r="M6" s="34" t="s">
        <v>203</v>
      </c>
      <c r="N6" s="34"/>
      <c r="O6" s="80"/>
    </row>
    <row r="7" spans="1:15" ht="15">
      <c r="A7" s="75"/>
      <c r="B7" s="64"/>
      <c r="C7" s="64"/>
      <c r="D7" s="61"/>
      <c r="E7" s="61"/>
      <c r="F7" s="61"/>
      <c r="G7" s="72"/>
      <c r="H7" s="21"/>
      <c r="K7" s="89"/>
      <c r="L7" s="34" t="s">
        <v>233</v>
      </c>
      <c r="M7" s="34" t="s">
        <v>235</v>
      </c>
      <c r="N7" s="34"/>
      <c r="O7" s="80"/>
    </row>
    <row r="8" spans="1:15" ht="15.75" thickBot="1">
      <c r="A8" s="125" t="str">
        <f>IF($D$127=1,"Types of Bidding :",IF($D$127=2,"Arten des Bietens :",IF($D$127=3,"Tipi di offerte :",IF($D$127=4,"Types d'Enchères :",IF($D$127=5,"Tipos de hacer una oferta :",IF($D$127=6,"Tipos de oferecer :","RED"))))))</f>
        <v>Types d'Enchères :</v>
      </c>
      <c r="B8" s="126"/>
      <c r="C8" s="64"/>
      <c r="D8" s="126" t="str">
        <f>IF($D$127=1,"Participation Payment :",IF($D$127=2,"TeilnahmecZahlung :",IF($D$127=3,"Pagamento Di Partecipazione:",IF($D$127=4,"Paiement Participation :",IF($D$127=5,"Pago De la Participación :",IF($D$127=6,"Pagamento Da Participação :","RED"))))))</f>
        <v>Paiement Participation :</v>
      </c>
      <c r="E8" s="126"/>
      <c r="F8" s="126"/>
      <c r="G8" s="77">
        <v>20</v>
      </c>
      <c r="H8" s="21"/>
      <c r="K8" s="100"/>
      <c r="L8" s="101"/>
      <c r="M8" s="101"/>
      <c r="N8" s="101"/>
      <c r="O8" s="102"/>
    </row>
    <row r="9" spans="1:8" ht="15">
      <c r="A9" s="76"/>
      <c r="B9" s="63"/>
      <c r="C9" s="64"/>
      <c r="D9" s="63"/>
      <c r="E9" s="63"/>
      <c r="F9" s="63"/>
      <c r="G9" s="78"/>
      <c r="H9" s="21"/>
    </row>
    <row r="10" spans="1:8" ht="15">
      <c r="A10" s="125" t="str">
        <f>IF($D$127=1,"Duration of the game :",IF($D$127=2,"Dauer des Spiels :",IF($D$127=3,"Durata del gioco :",IF($D$127=4,"Durée de la partie :",IF($D$127=5,"Duración del juego :",IF($D$127=6,"Duração do jogo :","RED"))))))</f>
        <v>Durée de la partie :</v>
      </c>
      <c r="B10" s="126"/>
      <c r="C10" s="64"/>
      <c r="D10" s="61"/>
      <c r="E10" s="63" t="s">
        <v>195</v>
      </c>
      <c r="F10" s="64" t="s">
        <v>236</v>
      </c>
      <c r="G10" s="72"/>
      <c r="H10" s="21"/>
    </row>
    <row r="11" spans="1:7" ht="12.75">
      <c r="A11" s="79"/>
      <c r="B11" s="34"/>
      <c r="C11" s="34"/>
      <c r="D11" s="34"/>
      <c r="E11" s="34"/>
      <c r="F11" s="34"/>
      <c r="G11" s="80"/>
    </row>
    <row r="12" spans="1:7" ht="12.75">
      <c r="A12" s="81" t="str">
        <f>IF(D127=1,"Colors",IF(D127=2,"Farben",IF(D127=3,"Colori",IF(D127=4,"Couleurs",IF(D127=5,"Colores",IF(D127=6,"Cores","Colors"))))))</f>
        <v>Couleurs</v>
      </c>
      <c r="B12" s="15" t="str">
        <f>IF($D$127=1,"Chip",IF($D$127=2,"Wert",IF($D$127=3,"Valore",IF($D$127=4,"Valeur",IF($D$127=5,"Valor ",IF($D$127=6,"Valor","RED"))))))</f>
        <v>Valeur</v>
      </c>
      <c r="C12" s="8" t="str">
        <f>IF($D$127=1,"Number of",IF($D$127=2,"Zahl der",IF($D$127=3,"Numero di",IF($D$127=4,"Nombre",IF($D$127=5,"Número",IF($D$127=6,"Número","RED"))))))</f>
        <v>Nombre</v>
      </c>
      <c r="D12" s="3" t="str">
        <f>IF($D$127=1,B13&amp;" "&amp;A21,B12&amp;" "&amp;A21)</f>
        <v>Valeur TOTAL</v>
      </c>
      <c r="E12" s="34"/>
      <c r="F12" s="18" t="s">
        <v>30</v>
      </c>
      <c r="G12" s="82" t="str">
        <f>IF(D127=1,B13,B12)</f>
        <v>Valeur</v>
      </c>
    </row>
    <row r="13" spans="1:7" ht="12.75">
      <c r="A13" s="83"/>
      <c r="B13" s="16" t="str">
        <f>IF($D$127=1,"Value",IF($D$127=2,"Stückes",IF($D$127=3,"Fiche",IF($D$127=4,"Jeton",IF($D$127=5,"Ficha",IF($D$127=6,"Ficha","RED"))))))</f>
        <v>Jeton</v>
      </c>
      <c r="C13" s="9" t="str">
        <f>IF($D$127=1,"Chips",IF($D$127=2,"Stückes",IF($D$127=3,"Fiches",IF($D$127=4,"Jetons",IF($D$127=5,"Fichas",IF($D$127=6,"Fichas","RED"))))))</f>
        <v>Jetons</v>
      </c>
      <c r="D13" s="4" t="str">
        <f>IF($D$127=1,"Fictitious",IF($D$127=2,"Erfundener",IF($D$127=3,"Fittizio",IF($D$127=4,"Fictive",IF($D$127=5,"Ficticio",IF($D$127=6,"Fictitious","RED"))))))</f>
        <v>Fictive</v>
      </c>
      <c r="E13" s="34"/>
      <c r="F13" s="19" t="str">
        <f>A12</f>
        <v>Couleurs</v>
      </c>
      <c r="G13" s="84" t="str">
        <f>IF($D$127=1,"Standard",IF($D$127=2,"Standard",IF($D$127=3,"Standard",IF($D$127=4,"Standard",IF($D$127=5,"Estándar",IF($D$127=6,"Padrão","RED"))))))</f>
        <v>Standard</v>
      </c>
    </row>
    <row r="14" spans="1:7" ht="12.75">
      <c r="A14" s="85" t="str">
        <f>IF(D127=1,"WHITE",IF(D127=2,"WEISS",IF(D127=3,"BIANCO",IF(D127=4,"BLANC",IF(D127=5,"BLANCO",IF(D127=6,"BRANCO","WHITE"))))))</f>
        <v>BLANC</v>
      </c>
      <c r="B14" s="13">
        <v>1</v>
      </c>
      <c r="C14" s="10">
        <v>100</v>
      </c>
      <c r="D14" s="5">
        <f>B14*C14</f>
        <v>100</v>
      </c>
      <c r="E14" s="34"/>
      <c r="F14" s="2" t="str">
        <f>A14</f>
        <v>BLANC</v>
      </c>
      <c r="G14" s="86">
        <v>1</v>
      </c>
    </row>
    <row r="15" spans="1:7" ht="12.75">
      <c r="A15" s="85" t="str">
        <f>IF($D$127=1,"RED",IF($D$127=2,"ROT",IF($D$127=3,"ROSSO",IF($D$127=4,"ROUGE",IF($D$127=5,"ROJO",IF($D$127=6,"VERMELHO","RED"))))))</f>
        <v>ROUGE</v>
      </c>
      <c r="B15" s="14">
        <v>5</v>
      </c>
      <c r="C15" s="11">
        <v>100</v>
      </c>
      <c r="D15" s="6">
        <f aca="true" t="shared" si="0" ref="D15:D20">B15*C15</f>
        <v>500</v>
      </c>
      <c r="E15" s="34"/>
      <c r="F15" s="2" t="str">
        <f aca="true" t="shared" si="1" ref="F15:F20">A15</f>
        <v>ROUGE</v>
      </c>
      <c r="G15" s="87">
        <v>5</v>
      </c>
    </row>
    <row r="16" spans="1:7" ht="12.75">
      <c r="A16" s="85" t="str">
        <f>IF($D$127=1,"BLUE",IF($D$127=2,"BLAU",IF($D$127=3,"BLU",IF($D$127=4,"BLEU",IF($D$127=5,"AZUL",IF($D$127=6,"AZUL","RED"))))))</f>
        <v>BLEU</v>
      </c>
      <c r="B16" s="14">
        <v>10</v>
      </c>
      <c r="C16" s="11">
        <v>100</v>
      </c>
      <c r="D16" s="6">
        <f t="shared" si="0"/>
        <v>1000</v>
      </c>
      <c r="E16" s="34"/>
      <c r="F16" s="2" t="str">
        <f t="shared" si="1"/>
        <v>BLEU</v>
      </c>
      <c r="G16" s="87">
        <v>10</v>
      </c>
    </row>
    <row r="17" spans="1:7" ht="12.75">
      <c r="A17" s="85" t="str">
        <f>IF($D$127=1,"GREEN",IF($D$127=2,"GRÜN",IF($D$127=3,"VERDE",IF($D$127=4,"VERT",IF($D$127=5,"VERDE",IF($D$127=6,"VERDE","RED"))))))</f>
        <v>VERT</v>
      </c>
      <c r="B17" s="14">
        <v>25</v>
      </c>
      <c r="C17" s="11">
        <v>100</v>
      </c>
      <c r="D17" s="6">
        <f t="shared" si="0"/>
        <v>2500</v>
      </c>
      <c r="E17" s="34"/>
      <c r="F17" s="2" t="str">
        <f t="shared" si="1"/>
        <v>VERT</v>
      </c>
      <c r="G17" s="87">
        <v>25</v>
      </c>
    </row>
    <row r="18" spans="1:7" ht="12.75">
      <c r="A18" s="85" t="str">
        <f>IF($D$127=1,"YELLOW",IF($D$127=2,"GELB",IF($D$127=3,"GIALLO",IF($D$127=4,"JAUNE",IF($D$127=5,"AMARILLO",IF($D$127=6,"AMARELO","YELLOW"))))))</f>
        <v>JAUNE</v>
      </c>
      <c r="B18" s="14">
        <v>50</v>
      </c>
      <c r="C18" s="11">
        <v>50</v>
      </c>
      <c r="D18" s="6">
        <f t="shared" si="0"/>
        <v>2500</v>
      </c>
      <c r="E18" s="34"/>
      <c r="F18" s="2" t="str">
        <f t="shared" si="1"/>
        <v>JAUNE</v>
      </c>
      <c r="G18" s="87">
        <v>50</v>
      </c>
    </row>
    <row r="19" spans="1:7" ht="12.75">
      <c r="A19" s="85" t="str">
        <f>IF($D$127=1,"BLACK",IF($D$127=2,"SCHWARZES",IF($D$127=3,"NERO",IF($D$127=4,"NOIR",IF($D$127=5,"NEGRO",IF($D$127=6,"PRETO","BLACK"))))))</f>
        <v>NOIR</v>
      </c>
      <c r="B19" s="14">
        <v>100</v>
      </c>
      <c r="C19" s="11">
        <v>50</v>
      </c>
      <c r="D19" s="6">
        <f t="shared" si="0"/>
        <v>5000</v>
      </c>
      <c r="E19" s="34"/>
      <c r="F19" s="2" t="str">
        <f t="shared" si="1"/>
        <v>NOIR</v>
      </c>
      <c r="G19" s="87">
        <v>100</v>
      </c>
    </row>
    <row r="20" spans="1:7" ht="12.75">
      <c r="A20" s="85" t="str">
        <f>IF($D$127=1,"LAVENDER",IF($D$127=2,"LAVENDEL",IF($D$127=3,"MALVA",IF($D$127=4,"MAUVE",IF($D$127=5,"MALVA",IF($D$127=6,"MALVA","LAVENDER"))))))</f>
        <v>MAUVE</v>
      </c>
      <c r="B20" s="14">
        <v>500</v>
      </c>
      <c r="C20" s="11">
        <v>0</v>
      </c>
      <c r="D20" s="6">
        <f t="shared" si="0"/>
        <v>0</v>
      </c>
      <c r="E20" s="34"/>
      <c r="F20" s="2" t="str">
        <f t="shared" si="1"/>
        <v>MAUVE</v>
      </c>
      <c r="G20" s="87">
        <v>500</v>
      </c>
    </row>
    <row r="21" spans="1:7" ht="12.75">
      <c r="A21" s="88" t="str">
        <f>IF($D$127=1,"In all",IF($D$127=2,"In allen",IF($D$127=3,"TOTALE",IF($D$127=4,"TOTAL",IF($D$127=5,"En todos",IF($D$127=6,"Em tudo","RED"))))))</f>
        <v>TOTAL</v>
      </c>
      <c r="B21" s="12"/>
      <c r="C21" s="12">
        <f>SUM(C14:C20)</f>
        <v>500</v>
      </c>
      <c r="D21" s="12">
        <f>SUM(D14:D20)</f>
        <v>11600</v>
      </c>
      <c r="E21" s="34"/>
      <c r="F21" s="34"/>
      <c r="G21" s="80"/>
    </row>
    <row r="22" spans="1:7" ht="12.75">
      <c r="A22" s="89"/>
      <c r="B22" s="34"/>
      <c r="C22" s="34"/>
      <c r="D22" s="34"/>
      <c r="E22" s="34"/>
      <c r="F22" s="34"/>
      <c r="G22" s="90"/>
    </row>
    <row r="23" spans="1:8" ht="12.75">
      <c r="A23" s="91" t="str">
        <f>IF(D127=1,A21&amp;" : "&amp;C21&amp;" "&amp;C13&amp;" - "&amp;D12&amp;" "&amp;D13&amp;" : "&amp;D21&amp;" "&amp;IF($G$127=1," $",IF($G$127=2," €",IF($G$127=3," £"," $"))),A21&amp;" : "&amp;C21&amp;" "&amp;C13&amp;" - "&amp;D12&amp;" "&amp;D13&amp;" : "&amp;D21&amp;" "&amp;IF($G$127=1," $",IF($G$127=2," €",IF($G$127=3," £"," $"))))</f>
        <v>TOTAL : 500 Jetons - Valeur TOTAL Fictive : 11600  $</v>
      </c>
      <c r="B23" s="34"/>
      <c r="C23" s="34"/>
      <c r="D23" s="34"/>
      <c r="E23" s="66"/>
      <c r="F23" s="66"/>
      <c r="G23" s="92"/>
      <c r="H23" s="17"/>
    </row>
    <row r="24" spans="1:8" ht="12.75">
      <c r="A24" s="89"/>
      <c r="B24" s="34"/>
      <c r="C24" s="34"/>
      <c r="D24" s="34"/>
      <c r="E24" s="66"/>
      <c r="F24" s="130" t="str">
        <f>IF($D$127=1,"REBUY",IF($D$127=2,"ERWERB WIEDER",IF($D$127=3,"RE ACQUISTO",IF($D$127=4,"RECAVE",IF($D$127=5,"RE COMPRA ",IF($D$127=6,"RE COMPRA ","RED"))))))</f>
        <v>RECAVE</v>
      </c>
      <c r="G24" s="131"/>
      <c r="H24" s="17"/>
    </row>
    <row r="25" spans="1:12" ht="12.75">
      <c r="A25" s="91"/>
      <c r="B25" s="34"/>
      <c r="C25" s="34"/>
      <c r="D25" s="34"/>
      <c r="E25" s="66"/>
      <c r="F25" s="66"/>
      <c r="G25" s="92"/>
      <c r="H25" s="17"/>
      <c r="J25" s="22"/>
      <c r="K25" s="22"/>
      <c r="L25" s="22"/>
    </row>
    <row r="26" spans="1:12" ht="13.5" thickBot="1">
      <c r="A26" s="89"/>
      <c r="B26" s="34"/>
      <c r="C26" s="34"/>
      <c r="D26" s="34"/>
      <c r="E26" s="66"/>
      <c r="F26" s="130" t="s">
        <v>80</v>
      </c>
      <c r="G26" s="131"/>
      <c r="H26" s="17"/>
      <c r="J26" s="23"/>
      <c r="K26" s="23"/>
      <c r="L26" s="23"/>
    </row>
    <row r="27" spans="1:12" ht="13.5" thickBot="1">
      <c r="A27" s="136" t="str">
        <f>IF($D$127=1,"Numbers of player :",IF($D$127=2,"Zahlen des Spielers :",IF($D$127=3,"Numeri di giocatore :",IF($D$127=4,"Nombre de joueur :",IF($D$127=5,"Números del jugador :",IF($D$127=6,"Números do jogador :","RED"))))))</f>
        <v>Nombre de joueur :</v>
      </c>
      <c r="B27" s="137"/>
      <c r="C27" s="20">
        <v>6</v>
      </c>
      <c r="D27" s="34"/>
      <c r="E27" s="66"/>
      <c r="F27" s="66"/>
      <c r="G27" s="92"/>
      <c r="H27" s="17"/>
      <c r="J27" s="23"/>
      <c r="K27" s="23"/>
      <c r="L27" s="23"/>
    </row>
    <row r="28" spans="1:12" ht="12.75">
      <c r="A28" s="89"/>
      <c r="B28" s="34"/>
      <c r="C28" s="34"/>
      <c r="D28" s="34"/>
      <c r="E28" s="66"/>
      <c r="F28" s="130" t="s">
        <v>134</v>
      </c>
      <c r="G28" s="131"/>
      <c r="H28" s="17"/>
      <c r="J28" s="23"/>
      <c r="K28" s="23"/>
      <c r="L28" s="23"/>
    </row>
    <row r="29" spans="1:12" ht="12.75">
      <c r="A29" s="71"/>
      <c r="B29" s="67"/>
      <c r="C29" s="67"/>
      <c r="D29" s="65"/>
      <c r="E29" s="66"/>
      <c r="F29" s="66"/>
      <c r="G29" s="92"/>
      <c r="H29" s="17"/>
      <c r="J29" s="23"/>
      <c r="K29" s="23"/>
      <c r="L29" s="23"/>
    </row>
    <row r="30" spans="1:12" ht="13.5" thickBot="1">
      <c r="A30" s="89"/>
      <c r="B30" s="34"/>
      <c r="C30" s="68" t="str">
        <f>C13</f>
        <v>Jetons</v>
      </c>
      <c r="D30" s="69"/>
      <c r="E30" s="34"/>
      <c r="F30" s="34"/>
      <c r="G30" s="93" t="str">
        <f>C13</f>
        <v>Jetons</v>
      </c>
      <c r="J30" s="23"/>
      <c r="K30" s="23"/>
      <c r="L30" s="23"/>
    </row>
    <row r="31" spans="1:12" ht="16.5" thickBot="1">
      <c r="A31" s="146" t="str">
        <f>IF($D$127=1,"THE BUYING :",IF($D$127=2,"DAS KAUFEN :",IF($D$127=3,"COMPRARE :",IF($D$127=4,"CAVE DE DEPART :",IF($D$127=5,"LA COMPRA :",IF($D$127=6,"A COMPRA :","THE BUYING :"))))))</f>
        <v>CAVE DE DEPART :</v>
      </c>
      <c r="B31" s="147"/>
      <c r="C31" s="29">
        <f>N(AK198)</f>
        <v>610</v>
      </c>
      <c r="D31" s="30"/>
      <c r="E31" s="144" t="str">
        <f>IF($D$127=1,"REBUY :",IF($D$127=2,"WIEDER KAUFEN :",IF($D$127=3,"COMPRARE ANCORA :",IF($D$127=4,"RECAVE :",IF($D$127=5,"COMPRAR OTRA VEZ :",IF($D$127=6,"COMPRAR OUTRA VEZ","RED"))))))</f>
        <v>RECAVE :</v>
      </c>
      <c r="F31" s="145"/>
      <c r="G31" s="31">
        <f>IF(D214=1,D274,"")</f>
        <v>610</v>
      </c>
      <c r="J31" s="23"/>
      <c r="K31" s="23"/>
      <c r="L31" s="23"/>
    </row>
    <row r="32" spans="1:12" ht="13.5" thickBot="1">
      <c r="A32" s="94"/>
      <c r="B32" s="66"/>
      <c r="C32" s="66"/>
      <c r="D32" s="66"/>
      <c r="E32" s="66"/>
      <c r="F32" s="66"/>
      <c r="G32" s="92"/>
      <c r="J32" s="23"/>
      <c r="K32" s="23"/>
      <c r="L32" s="23"/>
    </row>
    <row r="33" spans="1:12" ht="15.75">
      <c r="A33" s="138" t="str">
        <f>IF($D$127=1,"Chips per Player",IF($D$127=2,"Stücke pro Spieler",IF($D$127=3,"Parti per il giocatore",IF($D$127=4,"Jetons par Joueur",IF($D$127=5,"Pedazos por jugador",IF($D$127=6,"Partes por o jogador","RED"))))))</f>
        <v>Jetons par Joueur</v>
      </c>
      <c r="B33" s="139"/>
      <c r="C33" s="140"/>
      <c r="D33" s="66"/>
      <c r="E33" s="127" t="str">
        <f>A33</f>
        <v>Jetons par Joueur</v>
      </c>
      <c r="F33" s="128"/>
      <c r="G33" s="129"/>
      <c r="J33" s="23"/>
      <c r="K33" s="23"/>
      <c r="L33" s="23"/>
    </row>
    <row r="34" spans="1:12" ht="16.5" thickBot="1">
      <c r="A34" s="141" t="str">
        <f>A31</f>
        <v>CAVE DE DEPART :</v>
      </c>
      <c r="B34" s="142"/>
      <c r="C34" s="143"/>
      <c r="D34" s="66"/>
      <c r="E34" s="133" t="s">
        <v>48</v>
      </c>
      <c r="F34" s="134"/>
      <c r="G34" s="135"/>
      <c r="J34" s="23"/>
      <c r="K34" s="23"/>
      <c r="L34" s="23"/>
    </row>
    <row r="35" spans="1:12" ht="12.75">
      <c r="A35" s="132" t="str">
        <f>AJ191&amp;" "&amp;A14</f>
        <v>15 BLANC</v>
      </c>
      <c r="B35" s="106"/>
      <c r="C35" s="107"/>
      <c r="D35" s="66"/>
      <c r="E35" s="132" t="str">
        <f>IF($D$214=1,G267,"")</f>
        <v>0 BLANC</v>
      </c>
      <c r="F35" s="106"/>
      <c r="G35" s="107"/>
      <c r="J35" s="23"/>
      <c r="K35" s="23"/>
      <c r="L35" s="23"/>
    </row>
    <row r="36" spans="1:12" ht="15.75" customHeight="1">
      <c r="A36" s="132" t="str">
        <f aca="true" t="shared" si="2" ref="A36:A41">AJ192&amp;" "&amp;A15</f>
        <v>14 ROUGE</v>
      </c>
      <c r="B36" s="106"/>
      <c r="C36" s="107"/>
      <c r="D36" s="66"/>
      <c r="E36" s="132" t="str">
        <f aca="true" t="shared" si="3" ref="E36:E42">IF($D$214=1,G268,"")</f>
        <v>17 ROUGE</v>
      </c>
      <c r="F36" s="106"/>
      <c r="G36" s="107"/>
      <c r="J36" s="23"/>
      <c r="K36" s="23"/>
      <c r="L36" s="23"/>
    </row>
    <row r="37" spans="1:12" ht="12.75">
      <c r="A37" s="132" t="str">
        <f t="shared" si="2"/>
        <v>15 BLEU</v>
      </c>
      <c r="B37" s="106"/>
      <c r="C37" s="107"/>
      <c r="D37" s="66"/>
      <c r="E37" s="132" t="str">
        <f t="shared" si="3"/>
        <v>15 BLEU</v>
      </c>
      <c r="F37" s="106"/>
      <c r="G37" s="107"/>
      <c r="J37" s="23"/>
      <c r="K37" s="23"/>
      <c r="L37" s="23"/>
    </row>
    <row r="38" spans="1:12" ht="12.75">
      <c r="A38" s="132" t="str">
        <f t="shared" si="2"/>
        <v>15 VERT</v>
      </c>
      <c r="B38" s="106"/>
      <c r="C38" s="107"/>
      <c r="D38" s="66"/>
      <c r="E38" s="132" t="str">
        <f t="shared" si="3"/>
        <v>15 VERT</v>
      </c>
      <c r="F38" s="106"/>
      <c r="G38" s="107"/>
      <c r="J38" s="22"/>
      <c r="K38" s="22"/>
      <c r="L38" s="22"/>
    </row>
    <row r="39" spans="1:12" ht="12.75">
      <c r="A39" s="132" t="str">
        <f t="shared" si="2"/>
        <v>0 JAUNE</v>
      </c>
      <c r="B39" s="106"/>
      <c r="C39" s="107"/>
      <c r="D39" s="66"/>
      <c r="E39" s="132" t="str">
        <f t="shared" si="3"/>
        <v>0 JAUNE</v>
      </c>
      <c r="F39" s="106"/>
      <c r="G39" s="107"/>
      <c r="J39" s="22"/>
      <c r="K39" s="22"/>
      <c r="L39" s="22"/>
    </row>
    <row r="40" spans="1:12" ht="12.75">
      <c r="A40" s="132" t="str">
        <f t="shared" si="2"/>
        <v>0 NOIR</v>
      </c>
      <c r="B40" s="106"/>
      <c r="C40" s="107"/>
      <c r="D40" s="66"/>
      <c r="E40" s="132" t="str">
        <f t="shared" si="3"/>
        <v>0 NOIR</v>
      </c>
      <c r="F40" s="106"/>
      <c r="G40" s="107"/>
      <c r="J40" s="22"/>
      <c r="K40" s="22"/>
      <c r="L40" s="22"/>
    </row>
    <row r="41" spans="1:12" ht="12.75">
      <c r="A41" s="132" t="str">
        <f t="shared" si="2"/>
        <v>0 MAUVE</v>
      </c>
      <c r="B41" s="106"/>
      <c r="C41" s="107"/>
      <c r="D41" s="66"/>
      <c r="E41" s="132" t="str">
        <f t="shared" si="3"/>
        <v>0 MAUVE</v>
      </c>
      <c r="F41" s="106"/>
      <c r="G41" s="107"/>
      <c r="J41" s="22"/>
      <c r="K41" s="22"/>
      <c r="L41" s="22"/>
    </row>
    <row r="42" spans="1:7" ht="13.5" thickBot="1">
      <c r="A42" s="204" t="str">
        <f>AJ198&amp;" "&amp;A21</f>
        <v>59 TOTAL</v>
      </c>
      <c r="B42" s="205"/>
      <c r="C42" s="206"/>
      <c r="D42" s="66"/>
      <c r="E42" s="103" t="str">
        <f t="shared" si="3"/>
        <v>47 TOTAL</v>
      </c>
      <c r="F42" s="104"/>
      <c r="G42" s="105"/>
    </row>
    <row r="43" spans="1:7" ht="12.75">
      <c r="A43" s="94"/>
      <c r="B43" s="66"/>
      <c r="C43" s="66"/>
      <c r="D43" s="66"/>
      <c r="E43" s="66"/>
      <c r="F43" s="66"/>
      <c r="G43" s="92"/>
    </row>
    <row r="44" spans="1:7" ht="12.75">
      <c r="A44" s="94"/>
      <c r="B44" s="66"/>
      <c r="C44" s="66"/>
      <c r="D44" s="66"/>
      <c r="E44" s="66"/>
      <c r="F44" s="66"/>
      <c r="G44" s="92"/>
    </row>
    <row r="45" spans="1:7" ht="13.5" thickBot="1">
      <c r="A45" s="94"/>
      <c r="B45" s="66"/>
      <c r="C45" s="70" t="str">
        <f>C13</f>
        <v>Jetons</v>
      </c>
      <c r="D45" s="66"/>
      <c r="E45" s="66"/>
      <c r="F45" s="66"/>
      <c r="G45" s="95" t="str">
        <f>C13</f>
        <v>Jetons</v>
      </c>
    </row>
    <row r="46" spans="1:7" ht="16.5" thickBot="1">
      <c r="A46" s="160" t="s">
        <v>79</v>
      </c>
      <c r="B46" s="161"/>
      <c r="C46" s="32">
        <f>IF(D215=1,D334,"")</f>
        <v>610</v>
      </c>
      <c r="D46" s="66"/>
      <c r="E46" s="162" t="s">
        <v>118</v>
      </c>
      <c r="F46" s="163"/>
      <c r="G46" s="33">
        <f>IF(D216=1,D334*2,"")</f>
        <v>1220</v>
      </c>
    </row>
    <row r="47" spans="1:7" ht="13.5" thickBot="1">
      <c r="A47" s="94"/>
      <c r="B47" s="66"/>
      <c r="C47" s="66"/>
      <c r="D47" s="66"/>
      <c r="E47" s="66"/>
      <c r="F47" s="66"/>
      <c r="G47" s="92"/>
    </row>
    <row r="48" spans="1:7" ht="15.75">
      <c r="A48" s="164" t="str">
        <f>A33</f>
        <v>Jetons par Joueur</v>
      </c>
      <c r="B48" s="165"/>
      <c r="C48" s="166"/>
      <c r="D48" s="66"/>
      <c r="E48" s="170" t="str">
        <f>E33</f>
        <v>Jetons par Joueur</v>
      </c>
      <c r="F48" s="171"/>
      <c r="G48" s="172"/>
    </row>
    <row r="49" spans="1:7" ht="16.5" thickBot="1">
      <c r="A49" s="167" t="s">
        <v>80</v>
      </c>
      <c r="B49" s="168"/>
      <c r="C49" s="169"/>
      <c r="D49" s="66"/>
      <c r="E49" s="173" t="s">
        <v>134</v>
      </c>
      <c r="F49" s="174"/>
      <c r="G49" s="175"/>
    </row>
    <row r="50" spans="1:7" ht="12.75">
      <c r="A50" s="122" t="str">
        <f aca="true" t="shared" si="4" ref="A50:A57">IF($D$215=1,AQ316&amp;" "&amp;A14,"")</f>
        <v>0 BLANC</v>
      </c>
      <c r="B50" s="123"/>
      <c r="C50" s="124"/>
      <c r="D50" s="66"/>
      <c r="E50" s="122" t="str">
        <f aca="true" t="shared" si="5" ref="E50:E57">IF($D$216=1,AQ316*2&amp;" "&amp;A14,"")</f>
        <v>0 BLANC</v>
      </c>
      <c r="F50" s="123"/>
      <c r="G50" s="124"/>
    </row>
    <row r="51" spans="1:7" ht="12.75">
      <c r="A51" s="122" t="str">
        <f t="shared" si="4"/>
        <v>0 ROUGE</v>
      </c>
      <c r="B51" s="123"/>
      <c r="C51" s="124"/>
      <c r="D51" s="66"/>
      <c r="E51" s="122" t="str">
        <f t="shared" si="5"/>
        <v>0 ROUGE</v>
      </c>
      <c r="F51" s="123"/>
      <c r="G51" s="124"/>
    </row>
    <row r="52" spans="1:7" ht="12.75">
      <c r="A52" s="122" t="str">
        <f t="shared" si="4"/>
        <v>1 BLEU</v>
      </c>
      <c r="B52" s="123"/>
      <c r="C52" s="124"/>
      <c r="D52" s="66"/>
      <c r="E52" s="122" t="str">
        <f t="shared" si="5"/>
        <v>2 BLEU</v>
      </c>
      <c r="F52" s="123"/>
      <c r="G52" s="124"/>
    </row>
    <row r="53" spans="1:7" ht="12.75">
      <c r="A53" s="122" t="str">
        <f t="shared" si="4"/>
        <v>0 VERT</v>
      </c>
      <c r="B53" s="123"/>
      <c r="C53" s="124"/>
      <c r="D53" s="66"/>
      <c r="E53" s="122" t="str">
        <f t="shared" si="5"/>
        <v>0 VERT</v>
      </c>
      <c r="F53" s="123"/>
      <c r="G53" s="124"/>
    </row>
    <row r="54" spans="1:7" ht="12.75">
      <c r="A54" s="122" t="str">
        <f t="shared" si="4"/>
        <v>2 JAUNE</v>
      </c>
      <c r="B54" s="123"/>
      <c r="C54" s="124"/>
      <c r="D54" s="66"/>
      <c r="E54" s="122" t="str">
        <f t="shared" si="5"/>
        <v>4 JAUNE</v>
      </c>
      <c r="F54" s="123"/>
      <c r="G54" s="124"/>
    </row>
    <row r="55" spans="1:7" ht="12.75">
      <c r="A55" s="122" t="str">
        <f t="shared" si="4"/>
        <v>5 NOIR</v>
      </c>
      <c r="B55" s="123"/>
      <c r="C55" s="124"/>
      <c r="D55" s="66"/>
      <c r="E55" s="122" t="str">
        <f t="shared" si="5"/>
        <v>10 NOIR</v>
      </c>
      <c r="F55" s="123"/>
      <c r="G55" s="124"/>
    </row>
    <row r="56" spans="1:7" ht="12.75">
      <c r="A56" s="122" t="str">
        <f t="shared" si="4"/>
        <v>0 MAUVE</v>
      </c>
      <c r="B56" s="123"/>
      <c r="C56" s="124"/>
      <c r="D56" s="66"/>
      <c r="E56" s="122" t="str">
        <f t="shared" si="5"/>
        <v>0 MAUVE</v>
      </c>
      <c r="F56" s="123"/>
      <c r="G56" s="124"/>
    </row>
    <row r="57" spans="1:7" ht="13.5" thickBot="1">
      <c r="A57" s="176" t="str">
        <f t="shared" si="4"/>
        <v>8 TOTAL</v>
      </c>
      <c r="B57" s="177"/>
      <c r="C57" s="178"/>
      <c r="D57" s="96"/>
      <c r="E57" s="182" t="str">
        <f t="shared" si="5"/>
        <v>16 TOTAL</v>
      </c>
      <c r="F57" s="183"/>
      <c r="G57" s="184"/>
    </row>
    <row r="58" spans="1:7" ht="12.75">
      <c r="A58" s="17"/>
      <c r="B58" s="17"/>
      <c r="C58" s="17"/>
      <c r="D58" s="17"/>
      <c r="E58" s="17"/>
      <c r="F58" s="17"/>
      <c r="G58" s="17"/>
    </row>
    <row r="60" spans="11:15" ht="26.25" thickBot="1">
      <c r="K60" s="190" t="str">
        <f>D153</f>
        <v>Texas Hold'em</v>
      </c>
      <c r="L60" s="190"/>
      <c r="M60" s="190"/>
      <c r="N60" s="190"/>
      <c r="O60" s="190"/>
    </row>
    <row r="61" spans="1:7" ht="12.75">
      <c r="A61" s="97"/>
      <c r="B61" s="98"/>
      <c r="C61" s="98"/>
      <c r="D61" s="98"/>
      <c r="E61" s="98"/>
      <c r="F61" s="98"/>
      <c r="G61" s="99"/>
    </row>
    <row r="62" spans="1:15" ht="22.5">
      <c r="A62" s="179" t="s">
        <v>188</v>
      </c>
      <c r="B62" s="180"/>
      <c r="C62" s="180"/>
      <c r="D62" s="180"/>
      <c r="E62" s="180"/>
      <c r="F62" s="180"/>
      <c r="G62" s="181"/>
      <c r="K62" s="191" t="str">
        <f>G146</f>
        <v>SPREAD-LIMIT</v>
      </c>
      <c r="L62" s="191"/>
      <c r="M62" s="191"/>
      <c r="N62" s="191"/>
      <c r="O62" s="191"/>
    </row>
    <row r="63" spans="1:14" ht="13.5" thickBot="1">
      <c r="A63" s="100"/>
      <c r="B63" s="101"/>
      <c r="C63" s="101"/>
      <c r="D63" s="101"/>
      <c r="E63" s="101"/>
      <c r="F63" s="101"/>
      <c r="G63" s="102"/>
      <c r="K63" s="34"/>
      <c r="L63" s="34"/>
      <c r="M63" s="34"/>
      <c r="N63" s="34"/>
    </row>
    <row r="64" spans="6:14" ht="12.75">
      <c r="F64" s="7"/>
      <c r="K64" s="34"/>
      <c r="L64" s="34"/>
      <c r="M64" s="34"/>
      <c r="N64" s="34"/>
    </row>
    <row r="65" spans="1:15" ht="25.5">
      <c r="A65" s="7"/>
      <c r="B65" s="7"/>
      <c r="C65" s="7"/>
      <c r="F65" s="7"/>
      <c r="K65" s="193" t="str">
        <f>G8&amp;IF($G$127=1," $",IF($G$127=2," €",IF($G$127=3," £"," $")))</f>
        <v>20 $</v>
      </c>
      <c r="L65" s="193"/>
      <c r="M65" s="193"/>
      <c r="N65" s="193"/>
      <c r="O65" s="193"/>
    </row>
    <row r="66" spans="1:14" ht="12.75">
      <c r="A66" s="7"/>
      <c r="B66" s="7"/>
      <c r="C66" s="7"/>
      <c r="F66" s="7"/>
      <c r="K66" s="34"/>
      <c r="L66" s="34"/>
      <c r="M66" s="34"/>
      <c r="N66" s="34"/>
    </row>
    <row r="67" spans="1:15" ht="15.75">
      <c r="A67" s="109"/>
      <c r="B67" s="109"/>
      <c r="C67" s="109"/>
      <c r="D67" s="109"/>
      <c r="E67" s="109"/>
      <c r="F67" s="109"/>
      <c r="G67" s="109"/>
      <c r="K67" s="192" t="str">
        <f>IF($D$127=1,"Participation Payment",IF($D$127=2,"TeilnahmecZahlung",IF($D$127=3,"Pagamento Di Partecipazione",IF($D$127=4,"Paiement Participation",IF($D$127=5,"Pago De la Participación",IF($D$127=6,"Pagamento Da Participação","RED"))))))</f>
        <v>Paiement Participation</v>
      </c>
      <c r="L67" s="192"/>
      <c r="M67" s="192"/>
      <c r="N67" s="192"/>
      <c r="O67" s="192"/>
    </row>
    <row r="68" spans="1:14" ht="12.75">
      <c r="A68" s="7"/>
      <c r="B68" s="7"/>
      <c r="C68" s="7"/>
      <c r="F68" s="7"/>
      <c r="K68" s="34"/>
      <c r="L68" s="34"/>
      <c r="M68" s="34"/>
      <c r="N68" s="34"/>
    </row>
    <row r="69" spans="1:6" ht="12.75">
      <c r="A69" s="7"/>
      <c r="B69" s="7"/>
      <c r="C69" s="7"/>
      <c r="F69" s="7"/>
    </row>
    <row r="70" spans="1:6" ht="12.75">
      <c r="A70" s="7"/>
      <c r="B70" s="7"/>
      <c r="C70" s="7"/>
      <c r="F70" s="7"/>
    </row>
    <row r="71" spans="1:6" ht="12.75">
      <c r="A71" s="7"/>
      <c r="B71" s="7"/>
      <c r="C71" s="7"/>
      <c r="F71" s="7"/>
    </row>
    <row r="72" spans="1:6" ht="12.75">
      <c r="A72" s="7"/>
      <c r="B72" s="7"/>
      <c r="C72" s="7"/>
      <c r="F72" s="7"/>
    </row>
    <row r="73" ht="12.75">
      <c r="F73" s="7"/>
    </row>
    <row r="74" spans="6:12" ht="18">
      <c r="F74" s="7"/>
      <c r="H74" s="110" t="str">
        <f>A31</f>
        <v>CAVE DE DEPART :</v>
      </c>
      <c r="I74" s="110"/>
      <c r="J74" s="110"/>
      <c r="K74" s="35">
        <f>C31</f>
        <v>610</v>
      </c>
      <c r="L74" s="36" t="str">
        <f>C30</f>
        <v>Jetons</v>
      </c>
    </row>
    <row r="75" ht="12.75">
      <c r="F75" s="7"/>
    </row>
    <row r="76" spans="6:14" ht="15.75">
      <c r="F76" s="7"/>
      <c r="H76" s="111" t="str">
        <f>IF(D214=1,E31,"")</f>
        <v>RECAVE :</v>
      </c>
      <c r="I76" s="111"/>
      <c r="J76" s="111"/>
      <c r="K76" s="38">
        <f>IF(D214=1,G31,"")</f>
        <v>610</v>
      </c>
      <c r="L76" s="37" t="str">
        <f>IF(K76="","",$L$74)</f>
        <v>Jetons</v>
      </c>
      <c r="M76" s="189" t="str">
        <f>IF(H76="","","( STOP Level 4 )")</f>
        <v>( STOP Level 4 )</v>
      </c>
      <c r="N76" s="189"/>
    </row>
    <row r="77" spans="6:14" ht="15.75">
      <c r="F77" s="7"/>
      <c r="H77" s="111" t="str">
        <f>IF(D215=1,A46,"")</f>
        <v>ADD-ON :</v>
      </c>
      <c r="I77" s="111"/>
      <c r="J77" s="111"/>
      <c r="K77" s="38">
        <f>IF(D215=1,C46,"")</f>
        <v>610</v>
      </c>
      <c r="L77" s="37" t="str">
        <f>IF(K77="","",$L$74)</f>
        <v>Jetons</v>
      </c>
      <c r="M77" s="189" t="str">
        <f>IF(H77="","","( Level 5-7 )")</f>
        <v>( Level 5-7 )</v>
      </c>
      <c r="N77" s="189"/>
    </row>
    <row r="78" spans="6:14" ht="15.75">
      <c r="F78" s="7"/>
      <c r="H78" s="111" t="str">
        <f>IF(D216=1,E46,"")</f>
        <v>DOUBLE ADD-ON :</v>
      </c>
      <c r="I78" s="111"/>
      <c r="J78" s="111"/>
      <c r="K78" s="38">
        <f>IF(D216=1,G46,"")</f>
        <v>1220</v>
      </c>
      <c r="L78" s="37" t="str">
        <f>IF(K78="","",$L$74)</f>
        <v>Jetons</v>
      </c>
      <c r="M78" s="189" t="str">
        <f>IF(H78="","","( Level 8-10 )")</f>
        <v>( Level 8-10 )</v>
      </c>
      <c r="N78" s="189"/>
    </row>
    <row r="79" ht="12.75">
      <c r="F79" s="7"/>
    </row>
    <row r="80" spans="6:15" ht="12.75">
      <c r="F80" s="7"/>
      <c r="O80" s="108" t="s">
        <v>210</v>
      </c>
    </row>
    <row r="81" spans="6:15" ht="15.75">
      <c r="F81" s="7"/>
      <c r="H81" s="200" t="s">
        <v>187</v>
      </c>
      <c r="I81" s="201"/>
      <c r="J81" s="201"/>
      <c r="K81" s="202"/>
      <c r="M81" s="198" t="s">
        <v>111</v>
      </c>
      <c r="N81" s="199"/>
      <c r="O81" s="108" t="str">
        <f>(G8*C27)&amp;IF($G$127=1," $",IF($G$127=2," €",IF($G$127=3," £"," $")))</f>
        <v>120 $</v>
      </c>
    </row>
    <row r="82" spans="6:15" ht="12.75">
      <c r="F82" s="7"/>
      <c r="H82" s="41" t="s">
        <v>165</v>
      </c>
      <c r="I82" s="41" t="s">
        <v>186</v>
      </c>
      <c r="J82" s="41" t="s">
        <v>143</v>
      </c>
      <c r="K82" s="41" t="s">
        <v>162</v>
      </c>
      <c r="M82" s="42">
        <f>IF(C433="","",C433)</f>
        <v>1</v>
      </c>
      <c r="N82" s="42" t="str">
        <f aca="true" t="shared" si="6" ref="N82:N90">IF(M82="","",M433&amp;"%")</f>
        <v>60%</v>
      </c>
      <c r="O82" s="42" t="str">
        <f>IF(N82="","",($G$8*$C$27)*N82&amp;IF($G$127=1," $",IF($G$127=2," €",IF($G$127=3," £"," $"))))</f>
        <v>72 $</v>
      </c>
    </row>
    <row r="83" spans="6:15" ht="12.75">
      <c r="F83" s="7"/>
      <c r="H83" s="42">
        <f>IF(Z399=0,"",$W399)</f>
        <v>1</v>
      </c>
      <c r="I83" s="43">
        <v>0</v>
      </c>
      <c r="J83" s="1">
        <f>IF(Z399=0,"",Z399)</f>
        <v>1</v>
      </c>
      <c r="K83" s="1">
        <f>J83*2</f>
        <v>2</v>
      </c>
      <c r="M83" s="42">
        <f aca="true" t="shared" si="7" ref="M83:M90">IF(C434="","",C434)</f>
        <v>2</v>
      </c>
      <c r="N83" s="42" t="str">
        <f t="shared" si="6"/>
        <v>40%</v>
      </c>
      <c r="O83" s="42" t="str">
        <f aca="true" t="shared" si="8" ref="O83:O90">IF(N83="","",($G$8*$C$27)*N83&amp;IF($G$127=1," $",IF($G$127=2," €",IF($G$127=3," £"," $"))))</f>
        <v>48 $</v>
      </c>
    </row>
    <row r="84" spans="5:15" ht="12.75">
      <c r="E84" s="39"/>
      <c r="F84" s="7"/>
      <c r="H84" s="42">
        <f aca="true" t="shared" si="9" ref="H84:H95">IF(Z400=0,"",$W400)</f>
        <v>2</v>
      </c>
      <c r="I84" s="43">
        <f aca="true" t="shared" si="10" ref="I84:I89">SUM(I83+IF($C$156=1,$D$157,IF($C$156=2,$D$157,$D$158)))</f>
        <v>0.020833333333333332</v>
      </c>
      <c r="J84" s="1">
        <f aca="true" t="shared" si="11" ref="J84:J95">IF(Z400=0,"",Z400)</f>
        <v>5</v>
      </c>
      <c r="K84" s="1">
        <f aca="true" t="shared" si="12" ref="K84:K95">J84*2</f>
        <v>10</v>
      </c>
      <c r="M84" s="42">
        <f t="shared" si="7"/>
      </c>
      <c r="N84" s="42">
        <f t="shared" si="6"/>
      </c>
      <c r="O84" s="42">
        <f t="shared" si="8"/>
      </c>
    </row>
    <row r="85" spans="6:15" ht="12.75">
      <c r="F85" s="7"/>
      <c r="H85" s="42">
        <f t="shared" si="9"/>
        <v>3</v>
      </c>
      <c r="I85" s="43">
        <f t="shared" si="10"/>
        <v>0.041666666666666664</v>
      </c>
      <c r="J85" s="1">
        <f t="shared" si="11"/>
        <v>10</v>
      </c>
      <c r="K85" s="1">
        <f t="shared" si="12"/>
        <v>20</v>
      </c>
      <c r="M85" s="42">
        <f t="shared" si="7"/>
      </c>
      <c r="N85" s="42">
        <f t="shared" si="6"/>
      </c>
      <c r="O85" s="42">
        <f t="shared" si="8"/>
      </c>
    </row>
    <row r="86" spans="6:15" ht="12.75">
      <c r="F86" s="28"/>
      <c r="H86" s="44">
        <f t="shared" si="9"/>
        <v>4</v>
      </c>
      <c r="I86" s="45">
        <f t="shared" si="10"/>
        <v>0.0625</v>
      </c>
      <c r="J86" s="46">
        <f t="shared" si="11"/>
        <v>15</v>
      </c>
      <c r="K86" s="46">
        <f t="shared" si="12"/>
        <v>30</v>
      </c>
      <c r="M86" s="42">
        <f t="shared" si="7"/>
      </c>
      <c r="N86" s="42">
        <f t="shared" si="6"/>
      </c>
      <c r="O86" s="42">
        <f t="shared" si="8"/>
      </c>
    </row>
    <row r="87" spans="6:15" ht="12.75">
      <c r="F87" s="40"/>
      <c r="H87" s="42">
        <f t="shared" si="9"/>
        <v>5</v>
      </c>
      <c r="I87" s="43">
        <f t="shared" si="10"/>
        <v>0.08333333333333333</v>
      </c>
      <c r="J87" s="1">
        <f t="shared" si="11"/>
        <v>25</v>
      </c>
      <c r="K87" s="1">
        <f t="shared" si="12"/>
        <v>50</v>
      </c>
      <c r="M87" s="42">
        <f t="shared" si="7"/>
      </c>
      <c r="N87" s="42">
        <f t="shared" si="6"/>
      </c>
      <c r="O87" s="42">
        <f t="shared" si="8"/>
      </c>
    </row>
    <row r="88" spans="8:15" ht="12.75">
      <c r="H88" s="42">
        <f t="shared" si="9"/>
        <v>6</v>
      </c>
      <c r="I88" s="43">
        <f t="shared" si="10"/>
        <v>0.10416666666666666</v>
      </c>
      <c r="J88" s="1">
        <f t="shared" si="11"/>
        <v>35</v>
      </c>
      <c r="K88" s="1">
        <f t="shared" si="12"/>
        <v>70</v>
      </c>
      <c r="M88" s="42">
        <f t="shared" si="7"/>
      </c>
      <c r="N88" s="42">
        <f t="shared" si="6"/>
      </c>
      <c r="O88" s="42">
        <f t="shared" si="8"/>
      </c>
    </row>
    <row r="89" spans="8:15" ht="12.75">
      <c r="H89" s="42">
        <f t="shared" si="9"/>
        <v>7</v>
      </c>
      <c r="I89" s="43">
        <f t="shared" si="10"/>
        <v>0.12499999999999999</v>
      </c>
      <c r="J89" s="1">
        <f t="shared" si="11"/>
        <v>50</v>
      </c>
      <c r="K89" s="1">
        <f t="shared" si="12"/>
        <v>100</v>
      </c>
      <c r="M89" s="42">
        <f t="shared" si="7"/>
      </c>
      <c r="N89" s="42">
        <f t="shared" si="6"/>
      </c>
      <c r="O89" s="42">
        <f t="shared" si="8"/>
      </c>
    </row>
    <row r="90" spans="8:15" ht="12.75">
      <c r="H90" s="42">
        <f t="shared" si="9"/>
        <v>8</v>
      </c>
      <c r="I90" s="43">
        <f aca="true" t="shared" si="13" ref="I90:I95">SUM(I89+IF($C$156=1,$D$157,IF($C$156=2,$D$158,$D$158)))</f>
        <v>0.13888888888888887</v>
      </c>
      <c r="J90" s="1">
        <f t="shared" si="11"/>
        <v>75</v>
      </c>
      <c r="K90" s="1">
        <f t="shared" si="12"/>
        <v>150</v>
      </c>
      <c r="M90" s="42">
        <f t="shared" si="7"/>
      </c>
      <c r="N90" s="42">
        <f t="shared" si="6"/>
      </c>
      <c r="O90" s="42">
        <f t="shared" si="8"/>
      </c>
    </row>
    <row r="91" spans="8:11" ht="12.75">
      <c r="H91" s="42">
        <f t="shared" si="9"/>
        <v>9</v>
      </c>
      <c r="I91" s="43">
        <f t="shared" si="13"/>
        <v>0.15277777777777776</v>
      </c>
      <c r="J91" s="1">
        <f t="shared" si="11"/>
        <v>100</v>
      </c>
      <c r="K91" s="1">
        <f t="shared" si="12"/>
        <v>200</v>
      </c>
    </row>
    <row r="92" spans="8:15" ht="12.75">
      <c r="H92" s="44">
        <f t="shared" si="9"/>
        <v>10</v>
      </c>
      <c r="I92" s="45">
        <f t="shared" si="13"/>
        <v>0.16666666666666666</v>
      </c>
      <c r="J92" s="46">
        <f t="shared" si="11"/>
        <v>150</v>
      </c>
      <c r="K92" s="46">
        <f t="shared" si="12"/>
        <v>300</v>
      </c>
      <c r="M92" s="203" t="str">
        <f>IF($D$127=1,"Chip",IF($D$127=2,"Wert",IF($D$127=3,"Valore",IF($D$127=4,"Valeur",IF($D$127=5,"Valor ",IF($D$127=6,"Valor","RED"))))))&amp;" "&amp;IF($D$127=1,"Value",IF($D$127=2,"Stückes",IF($D$127=3,"Fiche",IF($D$127=4,"Jeton",IF($D$127=5,"Ficha",IF($D$127=6,"Ficha","RED"))))))</f>
        <v>Valeur Jeton</v>
      </c>
      <c r="N92" s="203"/>
      <c r="O92" s="58" t="str">
        <f>C12</f>
        <v>Nombre</v>
      </c>
    </row>
    <row r="93" spans="8:15" ht="12.75">
      <c r="H93" s="42">
        <f t="shared" si="9"/>
        <v>11</v>
      </c>
      <c r="I93" s="43">
        <f t="shared" si="13"/>
        <v>0.18055555555555555</v>
      </c>
      <c r="J93" s="1">
        <f t="shared" si="11"/>
        <v>200</v>
      </c>
      <c r="K93" s="1">
        <f t="shared" si="12"/>
        <v>400</v>
      </c>
      <c r="M93" s="1" t="str">
        <f aca="true" t="shared" si="14" ref="M93:N99">A14</f>
        <v>BLANC</v>
      </c>
      <c r="N93" s="57">
        <f t="shared" si="14"/>
        <v>1</v>
      </c>
      <c r="O93" s="57">
        <f>C14</f>
        <v>100</v>
      </c>
    </row>
    <row r="94" spans="8:15" ht="12.75">
      <c r="H94" s="42">
        <f t="shared" si="9"/>
        <v>12</v>
      </c>
      <c r="I94" s="43">
        <f t="shared" si="13"/>
        <v>0.19444444444444445</v>
      </c>
      <c r="J94" s="1">
        <f t="shared" si="11"/>
        <v>400</v>
      </c>
      <c r="K94" s="1">
        <f t="shared" si="12"/>
        <v>800</v>
      </c>
      <c r="M94" s="1" t="str">
        <f t="shared" si="14"/>
        <v>ROUGE</v>
      </c>
      <c r="N94" s="57">
        <f t="shared" si="14"/>
        <v>5</v>
      </c>
      <c r="O94" s="57">
        <f aca="true" t="shared" si="15" ref="O94:O99">C15</f>
        <v>100</v>
      </c>
    </row>
    <row r="95" spans="8:15" ht="12.75">
      <c r="H95" s="42">
        <f t="shared" si="9"/>
        <v>13</v>
      </c>
      <c r="I95" s="43">
        <f t="shared" si="13"/>
        <v>0.20833333333333334</v>
      </c>
      <c r="J95" s="1">
        <f t="shared" si="11"/>
        <v>600</v>
      </c>
      <c r="K95" s="1">
        <f t="shared" si="12"/>
        <v>1200</v>
      </c>
      <c r="M95" s="1" t="str">
        <f t="shared" si="14"/>
        <v>BLEU</v>
      </c>
      <c r="N95" s="57">
        <f t="shared" si="14"/>
        <v>10</v>
      </c>
      <c r="O95" s="57">
        <f t="shared" si="15"/>
        <v>100</v>
      </c>
    </row>
    <row r="96" spans="9:15" ht="12.75">
      <c r="I96" s="39"/>
      <c r="M96" s="1" t="str">
        <f t="shared" si="14"/>
        <v>VERT</v>
      </c>
      <c r="N96" s="57">
        <f t="shared" si="14"/>
        <v>25</v>
      </c>
      <c r="O96" s="57">
        <f t="shared" si="15"/>
        <v>100</v>
      </c>
    </row>
    <row r="97" spans="13:15" ht="12.75">
      <c r="M97" s="1" t="str">
        <f t="shared" si="14"/>
        <v>JAUNE</v>
      </c>
      <c r="N97" s="57">
        <f t="shared" si="14"/>
        <v>50</v>
      </c>
      <c r="O97" s="57">
        <f t="shared" si="15"/>
        <v>50</v>
      </c>
    </row>
    <row r="98" spans="8:15" ht="12.75">
      <c r="H98" s="196" t="str">
        <f>A27</f>
        <v>Nombre de joueur :</v>
      </c>
      <c r="I98" s="197"/>
      <c r="J98" s="47">
        <f>C27</f>
        <v>6</v>
      </c>
      <c r="M98" s="1" t="str">
        <f t="shared" si="14"/>
        <v>NOIR</v>
      </c>
      <c r="N98" s="57">
        <f t="shared" si="14"/>
        <v>100</v>
      </c>
      <c r="O98" s="57">
        <f t="shared" si="15"/>
        <v>50</v>
      </c>
    </row>
    <row r="99" spans="8:15" ht="12.75">
      <c r="H99" s="194" t="str">
        <f>C12&amp;" "&amp;C13</f>
        <v>Nombre Jetons</v>
      </c>
      <c r="I99" s="195"/>
      <c r="J99" s="48">
        <f>C21</f>
        <v>500</v>
      </c>
      <c r="M99" s="1" t="str">
        <f t="shared" si="14"/>
        <v>MAUVE</v>
      </c>
      <c r="N99" s="57">
        <f t="shared" si="14"/>
        <v>500</v>
      </c>
      <c r="O99" s="57">
        <f t="shared" si="15"/>
        <v>0</v>
      </c>
    </row>
    <row r="100" spans="8:10" ht="12.75">
      <c r="H100" s="194" t="str">
        <f>D12&amp;" "&amp;D13</f>
        <v>Valeur TOTAL Fictive</v>
      </c>
      <c r="I100" s="195"/>
      <c r="J100" s="48">
        <f>D21</f>
        <v>11600</v>
      </c>
    </row>
    <row r="103" ht="13.5" thickBot="1"/>
    <row r="104" spans="8:15" ht="18">
      <c r="H104" s="116" t="str">
        <f>A33</f>
        <v>Jetons par Joueur</v>
      </c>
      <c r="I104" s="117"/>
      <c r="J104" s="117"/>
      <c r="K104" s="117"/>
      <c r="L104" s="117"/>
      <c r="M104" s="117"/>
      <c r="N104" s="117"/>
      <c r="O104" s="118"/>
    </row>
    <row r="105" spans="8:15" ht="13.5" thickBot="1">
      <c r="H105" s="114" t="str">
        <f>A12</f>
        <v>Couleurs</v>
      </c>
      <c r="I105" s="115"/>
      <c r="J105" s="114" t="str">
        <f>A34</f>
        <v>CAVE DE DEPART :</v>
      </c>
      <c r="K105" s="115"/>
      <c r="L105" s="114" t="str">
        <f>IF(D214=1,E31,"")</f>
        <v>RECAVE :</v>
      </c>
      <c r="M105" s="115"/>
      <c r="N105" s="53" t="str">
        <f>IF(D215=1,A46,"")</f>
        <v>ADD-ON :</v>
      </c>
      <c r="O105" s="49" t="str">
        <f>IF(D216=1,E46,"")</f>
        <v>DOUBLE ADD-ON :</v>
      </c>
    </row>
    <row r="106" spans="8:15" ht="12.75">
      <c r="H106" s="119" t="str">
        <f aca="true" t="shared" si="16" ref="H106:H112">M93</f>
        <v>BLANC</v>
      </c>
      <c r="I106" s="120"/>
      <c r="J106" s="188">
        <f aca="true" t="shared" si="17" ref="J106:J112">J191</f>
        <v>15</v>
      </c>
      <c r="K106" s="120"/>
      <c r="L106" s="188">
        <f>IF($D$214=1,IF(AQ256=0,0,AQ256),"")</f>
        <v>0</v>
      </c>
      <c r="M106" s="120"/>
      <c r="N106" s="54">
        <f>IF($D$215=1,IF(AQ316=0,0,AQ316),"")</f>
        <v>0</v>
      </c>
      <c r="O106" s="50">
        <f>IF($D$216=1,IF(N106="","",N106*2),"")</f>
        <v>0</v>
      </c>
    </row>
    <row r="107" spans="8:15" ht="12.75">
      <c r="H107" s="112" t="str">
        <f t="shared" si="16"/>
        <v>ROUGE</v>
      </c>
      <c r="I107" s="113"/>
      <c r="J107" s="121">
        <f t="shared" si="17"/>
        <v>14</v>
      </c>
      <c r="K107" s="113"/>
      <c r="L107" s="121">
        <f aca="true" t="shared" si="18" ref="L107:L112">IF($D$214=1,IF(AQ257=0,0,AQ257),"")</f>
        <v>17</v>
      </c>
      <c r="M107" s="113"/>
      <c r="N107" s="55">
        <f aca="true" t="shared" si="19" ref="N107:N112">IF($D$215=1,IF(AQ317=0,0,AQ317),"")</f>
        <v>0</v>
      </c>
      <c r="O107" s="51">
        <f aca="true" t="shared" si="20" ref="O107:O112">IF($D$216=1,IF(N107="","",N107*2),"")</f>
        <v>0</v>
      </c>
    </row>
    <row r="108" spans="8:15" ht="12.75">
      <c r="H108" s="112" t="str">
        <f t="shared" si="16"/>
        <v>BLEU</v>
      </c>
      <c r="I108" s="113"/>
      <c r="J108" s="121">
        <f t="shared" si="17"/>
        <v>15</v>
      </c>
      <c r="K108" s="113"/>
      <c r="L108" s="121">
        <f t="shared" si="18"/>
        <v>15</v>
      </c>
      <c r="M108" s="113"/>
      <c r="N108" s="55">
        <f t="shared" si="19"/>
        <v>1</v>
      </c>
      <c r="O108" s="51">
        <f t="shared" si="20"/>
        <v>2</v>
      </c>
    </row>
    <row r="109" spans="8:15" ht="12.75">
      <c r="H109" s="112" t="str">
        <f t="shared" si="16"/>
        <v>VERT</v>
      </c>
      <c r="I109" s="113"/>
      <c r="J109" s="121">
        <f t="shared" si="17"/>
        <v>15</v>
      </c>
      <c r="K109" s="113"/>
      <c r="L109" s="121">
        <f t="shared" si="18"/>
        <v>15</v>
      </c>
      <c r="M109" s="113"/>
      <c r="N109" s="55">
        <f t="shared" si="19"/>
        <v>0</v>
      </c>
      <c r="O109" s="51">
        <f t="shared" si="20"/>
        <v>0</v>
      </c>
    </row>
    <row r="110" spans="8:15" ht="12.75">
      <c r="H110" s="112" t="str">
        <f t="shared" si="16"/>
        <v>JAUNE</v>
      </c>
      <c r="I110" s="113"/>
      <c r="J110" s="121">
        <f t="shared" si="17"/>
        <v>0</v>
      </c>
      <c r="K110" s="113"/>
      <c r="L110" s="121">
        <f t="shared" si="18"/>
        <v>0</v>
      </c>
      <c r="M110" s="113"/>
      <c r="N110" s="55">
        <f t="shared" si="19"/>
        <v>2</v>
      </c>
      <c r="O110" s="51">
        <f t="shared" si="20"/>
        <v>4</v>
      </c>
    </row>
    <row r="111" spans="8:15" ht="12.75">
      <c r="H111" s="112" t="str">
        <f t="shared" si="16"/>
        <v>NOIR</v>
      </c>
      <c r="I111" s="113"/>
      <c r="J111" s="121">
        <f t="shared" si="17"/>
        <v>0</v>
      </c>
      <c r="K111" s="113"/>
      <c r="L111" s="121">
        <f t="shared" si="18"/>
        <v>0</v>
      </c>
      <c r="M111" s="113"/>
      <c r="N111" s="55">
        <f t="shared" si="19"/>
        <v>5</v>
      </c>
      <c r="O111" s="51">
        <f t="shared" si="20"/>
        <v>10</v>
      </c>
    </row>
    <row r="112" spans="8:15" ht="13.5" thickBot="1">
      <c r="H112" s="185" t="str">
        <f t="shared" si="16"/>
        <v>MAUVE</v>
      </c>
      <c r="I112" s="186"/>
      <c r="J112" s="187">
        <f t="shared" si="17"/>
        <v>0</v>
      </c>
      <c r="K112" s="186"/>
      <c r="L112" s="187">
        <f t="shared" si="18"/>
        <v>0</v>
      </c>
      <c r="M112" s="186"/>
      <c r="N112" s="56">
        <f t="shared" si="19"/>
        <v>0</v>
      </c>
      <c r="O112" s="52">
        <f t="shared" si="20"/>
        <v>0</v>
      </c>
    </row>
    <row r="114" s="207" customFormat="1" ht="12.75"/>
    <row r="115" s="207"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pans="1:8" s="208" customFormat="1" ht="12.75">
      <c r="A125" s="209"/>
      <c r="B125" s="209"/>
      <c r="C125" s="209"/>
      <c r="D125" s="209"/>
      <c r="E125" s="209"/>
      <c r="F125" s="209"/>
      <c r="G125" s="209"/>
      <c r="H125" s="209"/>
    </row>
    <row r="126" spans="1:8" s="208" customFormat="1" ht="12.75">
      <c r="A126" s="209"/>
      <c r="B126" s="209"/>
      <c r="C126" s="209"/>
      <c r="D126" s="209"/>
      <c r="E126" s="209"/>
      <c r="F126" s="209"/>
      <c r="G126" s="209"/>
      <c r="H126" s="209"/>
    </row>
    <row r="127" spans="1:12" s="208" customFormat="1" ht="12.75">
      <c r="A127" s="209"/>
      <c r="B127" s="209"/>
      <c r="C127" s="209" t="s">
        <v>100</v>
      </c>
      <c r="D127" s="210">
        <v>4</v>
      </c>
      <c r="E127" s="209"/>
      <c r="F127" s="209" t="s">
        <v>107</v>
      </c>
      <c r="G127" s="210">
        <v>1</v>
      </c>
      <c r="H127" s="209"/>
      <c r="L127" s="208" t="s">
        <v>196</v>
      </c>
    </row>
    <row r="128" spans="1:13" s="208" customFormat="1" ht="12.75">
      <c r="A128" s="209"/>
      <c r="B128" s="209"/>
      <c r="C128" s="209" t="s">
        <v>101</v>
      </c>
      <c r="D128" s="209"/>
      <c r="E128" s="209"/>
      <c r="F128" s="209" t="s">
        <v>108</v>
      </c>
      <c r="G128" s="209"/>
      <c r="H128" s="209"/>
      <c r="L128" s="208">
        <v>1</v>
      </c>
      <c r="M128" s="208">
        <v>5</v>
      </c>
    </row>
    <row r="129" spans="1:13" s="208" customFormat="1" ht="12.75">
      <c r="A129" s="209"/>
      <c r="B129" s="209"/>
      <c r="C129" s="209" t="s">
        <v>102</v>
      </c>
      <c r="D129" s="209"/>
      <c r="E129" s="209"/>
      <c r="F129" s="209" t="s">
        <v>109</v>
      </c>
      <c r="G129" s="209"/>
      <c r="H129" s="209"/>
      <c r="L129" s="208">
        <v>2</v>
      </c>
      <c r="M129" s="208">
        <v>10</v>
      </c>
    </row>
    <row r="130" spans="1:13" s="208" customFormat="1" ht="12.75">
      <c r="A130" s="209"/>
      <c r="B130" s="209"/>
      <c r="C130" s="209" t="s">
        <v>103</v>
      </c>
      <c r="D130" s="209"/>
      <c r="E130" s="209"/>
      <c r="F130" s="209"/>
      <c r="G130" s="209"/>
      <c r="H130" s="209"/>
      <c r="L130" s="208">
        <v>3</v>
      </c>
      <c r="M130" s="208">
        <v>50</v>
      </c>
    </row>
    <row r="131" spans="1:13" s="208" customFormat="1" ht="12.75">
      <c r="A131" s="209"/>
      <c r="B131" s="209"/>
      <c r="C131" s="209" t="s">
        <v>104</v>
      </c>
      <c r="D131" s="209"/>
      <c r="E131" s="209"/>
      <c r="F131" s="209"/>
      <c r="G131" s="209"/>
      <c r="H131" s="209"/>
      <c r="L131" s="208">
        <v>4</v>
      </c>
      <c r="M131" s="208">
        <v>100</v>
      </c>
    </row>
    <row r="132" spans="1:14" s="208" customFormat="1" ht="12.75">
      <c r="A132" s="209"/>
      <c r="B132" s="209"/>
      <c r="C132" s="209" t="s">
        <v>105</v>
      </c>
      <c r="D132" s="209"/>
      <c r="E132" s="209"/>
      <c r="F132" s="209"/>
      <c r="G132" s="209"/>
      <c r="H132" s="209"/>
      <c r="M132" s="211">
        <v>2</v>
      </c>
      <c r="N132" s="208">
        <f>IF(M132=1,M128,IF(M132=2,M129,IF(M132=3,M130,IF(M132=4,M131))))</f>
        <v>10</v>
      </c>
    </row>
    <row r="133" spans="1:8" s="208" customFormat="1" ht="12.75">
      <c r="A133" s="209"/>
      <c r="B133" s="209"/>
      <c r="C133" s="209"/>
      <c r="D133" s="209"/>
      <c r="E133" s="209"/>
      <c r="F133" s="209"/>
      <c r="G133" s="209"/>
      <c r="H133" s="209"/>
    </row>
    <row r="134" spans="1:8" s="208" customFormat="1" ht="12.75">
      <c r="A134" s="209"/>
      <c r="B134" s="209"/>
      <c r="C134" s="209"/>
      <c r="D134" s="209"/>
      <c r="E134" s="209"/>
      <c r="F134" s="209"/>
      <c r="G134" s="209"/>
      <c r="H134" s="209"/>
    </row>
    <row r="135" spans="1:8" s="208" customFormat="1" ht="12.75">
      <c r="A135" s="209"/>
      <c r="B135" s="209"/>
      <c r="C135" s="209"/>
      <c r="D135" s="209"/>
      <c r="E135" s="209"/>
      <c r="F135" s="209"/>
      <c r="G135" s="209"/>
      <c r="H135" s="209"/>
    </row>
    <row r="136" spans="1:8" s="208" customFormat="1" ht="12.75">
      <c r="A136" s="209"/>
      <c r="B136" s="209"/>
      <c r="C136" s="209"/>
      <c r="D136" s="209"/>
      <c r="E136" s="209"/>
      <c r="F136" s="209"/>
      <c r="G136" s="209"/>
      <c r="H136" s="209"/>
    </row>
    <row r="137" spans="1:8" s="208" customFormat="1" ht="12.75">
      <c r="A137" s="209" t="s">
        <v>110</v>
      </c>
      <c r="B137" s="209"/>
      <c r="C137" s="209"/>
      <c r="D137" s="209"/>
      <c r="E137" s="209"/>
      <c r="F137" s="209"/>
      <c r="G137" s="209"/>
      <c r="H137" s="209"/>
    </row>
    <row r="138" spans="1:8" s="208" customFormat="1" ht="12.75">
      <c r="A138" s="209" t="s">
        <v>112</v>
      </c>
      <c r="B138" s="209"/>
      <c r="C138" s="209"/>
      <c r="D138" s="209"/>
      <c r="E138" s="209"/>
      <c r="F138" s="209"/>
      <c r="G138" s="209"/>
      <c r="H138" s="209"/>
    </row>
    <row r="139" spans="1:8" s="208" customFormat="1" ht="12.75">
      <c r="A139" s="209" t="s">
        <v>80</v>
      </c>
      <c r="B139" s="209"/>
      <c r="C139" s="209"/>
      <c r="D139" s="209"/>
      <c r="E139" s="209"/>
      <c r="F139" s="209"/>
      <c r="G139" s="209"/>
      <c r="H139" s="209"/>
    </row>
    <row r="140" spans="1:8" s="208" customFormat="1" ht="12.75">
      <c r="A140" s="209" t="s">
        <v>111</v>
      </c>
      <c r="B140" s="209"/>
      <c r="C140" s="209"/>
      <c r="D140" s="209"/>
      <c r="E140" s="209"/>
      <c r="F140" s="209"/>
      <c r="G140" s="209"/>
      <c r="H140" s="209"/>
    </row>
    <row r="141" spans="1:8" s="208" customFormat="1" ht="12.75">
      <c r="A141" s="209"/>
      <c r="B141" s="209"/>
      <c r="C141" s="210">
        <v>11</v>
      </c>
      <c r="D141" s="209"/>
      <c r="E141" s="209"/>
      <c r="F141" s="210">
        <v>4</v>
      </c>
      <c r="G141" s="209"/>
      <c r="H141" s="209"/>
    </row>
    <row r="142" spans="1:8" s="208" customFormat="1" ht="12.75">
      <c r="A142" s="209"/>
      <c r="B142" s="209">
        <v>1</v>
      </c>
      <c r="C142" s="209" t="s">
        <v>122</v>
      </c>
      <c r="D142" s="209">
        <f>IF(B142=$C$141,C142,"")</f>
      </c>
      <c r="E142" s="209">
        <v>1</v>
      </c>
      <c r="F142" s="209" t="s">
        <v>130</v>
      </c>
      <c r="G142" s="209">
        <f>IF(E142=$F$141,F142,"")</f>
      </c>
      <c r="H142" s="209"/>
    </row>
    <row r="143" spans="1:8" s="208" customFormat="1" ht="12.75">
      <c r="A143" s="209"/>
      <c r="B143" s="209">
        <v>2</v>
      </c>
      <c r="C143" s="209" t="s">
        <v>125</v>
      </c>
      <c r="D143" s="209">
        <f aca="true" t="shared" si="21" ref="D143:D152">IF(B143=$C$141,C143,"")</f>
      </c>
      <c r="E143" s="209">
        <v>2</v>
      </c>
      <c r="F143" s="209" t="s">
        <v>131</v>
      </c>
      <c r="G143" s="209">
        <f>IF(E143=$F$141,F143,"")</f>
      </c>
      <c r="H143" s="209"/>
    </row>
    <row r="144" spans="1:8" s="208" customFormat="1" ht="12.75">
      <c r="A144" s="209"/>
      <c r="B144" s="209">
        <v>3</v>
      </c>
      <c r="C144" s="209" t="s">
        <v>129</v>
      </c>
      <c r="D144" s="209">
        <f t="shared" si="21"/>
      </c>
      <c r="E144" s="209">
        <v>3</v>
      </c>
      <c r="F144" s="209" t="s">
        <v>132</v>
      </c>
      <c r="G144" s="209">
        <f>IF(E144=$F$141,F144,"")</f>
      </c>
      <c r="H144" s="209"/>
    </row>
    <row r="145" spans="1:8" s="208" customFormat="1" ht="12.75">
      <c r="A145" s="209"/>
      <c r="B145" s="209">
        <v>4</v>
      </c>
      <c r="C145" s="209" t="s">
        <v>121</v>
      </c>
      <c r="D145" s="209">
        <f t="shared" si="21"/>
      </c>
      <c r="E145" s="209">
        <v>4</v>
      </c>
      <c r="F145" s="209" t="s">
        <v>133</v>
      </c>
      <c r="G145" s="209" t="str">
        <f>IF(E145=$F$141,F145,"")</f>
        <v>SPREAD-LIMIT</v>
      </c>
      <c r="H145" s="209"/>
    </row>
    <row r="146" spans="1:8" s="208" customFormat="1" ht="12.75">
      <c r="A146" s="209"/>
      <c r="B146" s="209">
        <v>5</v>
      </c>
      <c r="C146" s="209" t="s">
        <v>123</v>
      </c>
      <c r="D146" s="209">
        <f t="shared" si="21"/>
      </c>
      <c r="E146" s="209"/>
      <c r="F146" s="209"/>
      <c r="G146" s="209" t="str">
        <f>CONCATENATE(G142,G143,G144,G145)</f>
        <v>SPREAD-LIMIT</v>
      </c>
      <c r="H146" s="209"/>
    </row>
    <row r="147" spans="1:8" s="208" customFormat="1" ht="12.75">
      <c r="A147" s="209"/>
      <c r="B147" s="209">
        <v>6</v>
      </c>
      <c r="C147" s="209" t="s">
        <v>120</v>
      </c>
      <c r="D147" s="209">
        <f t="shared" si="21"/>
      </c>
      <c r="E147" s="209"/>
      <c r="F147" s="209"/>
      <c r="G147" s="209"/>
      <c r="H147" s="209"/>
    </row>
    <row r="148" spans="1:8" s="208" customFormat="1" ht="12.75">
      <c r="A148" s="209"/>
      <c r="B148" s="209">
        <v>7</v>
      </c>
      <c r="C148" s="209" t="s">
        <v>124</v>
      </c>
      <c r="D148" s="209">
        <f t="shared" si="21"/>
      </c>
      <c r="E148" s="209"/>
      <c r="F148" s="209"/>
      <c r="G148" s="209"/>
      <c r="H148" s="209"/>
    </row>
    <row r="149" spans="1:8" s="208" customFormat="1" ht="12.75">
      <c r="A149" s="209"/>
      <c r="B149" s="209">
        <v>8</v>
      </c>
      <c r="C149" s="209" t="s">
        <v>126</v>
      </c>
      <c r="D149" s="209">
        <f t="shared" si="21"/>
      </c>
      <c r="E149" s="209"/>
      <c r="F149" s="209"/>
      <c r="G149" s="209"/>
      <c r="H149" s="209"/>
    </row>
    <row r="150" spans="1:8" s="208" customFormat="1" ht="12.75">
      <c r="A150" s="209"/>
      <c r="B150" s="209">
        <v>9</v>
      </c>
      <c r="C150" s="209" t="s">
        <v>127</v>
      </c>
      <c r="D150" s="209">
        <f t="shared" si="21"/>
      </c>
      <c r="E150" s="209"/>
      <c r="F150" s="209"/>
      <c r="G150" s="209"/>
      <c r="H150" s="209"/>
    </row>
    <row r="151" spans="1:8" s="208" customFormat="1" ht="12.75">
      <c r="A151" s="209"/>
      <c r="B151" s="209">
        <v>10</v>
      </c>
      <c r="C151" s="209" t="s">
        <v>128</v>
      </c>
      <c r="D151" s="209">
        <f t="shared" si="21"/>
      </c>
      <c r="E151" s="209"/>
      <c r="F151" s="209"/>
      <c r="G151" s="209"/>
      <c r="H151" s="209"/>
    </row>
    <row r="152" spans="1:8" s="208" customFormat="1" ht="12.75">
      <c r="A152" s="209"/>
      <c r="B152" s="209">
        <v>11</v>
      </c>
      <c r="C152" s="209" t="s">
        <v>119</v>
      </c>
      <c r="D152" s="209" t="str">
        <f t="shared" si="21"/>
        <v>Texas Hold'em</v>
      </c>
      <c r="E152" s="209"/>
      <c r="F152" s="209"/>
      <c r="G152" s="209"/>
      <c r="H152" s="209"/>
    </row>
    <row r="153" spans="1:8" s="208" customFormat="1" ht="12.75">
      <c r="A153" s="209"/>
      <c r="B153" s="209"/>
      <c r="C153" s="209"/>
      <c r="D153" s="212" t="str">
        <f>CONCATENATE(D142,D143,D144,D145,D146,D147,D148,D149,D150,D151,D152)</f>
        <v>Texas Hold'em</v>
      </c>
      <c r="E153" s="209"/>
      <c r="F153" s="209"/>
      <c r="G153" s="209"/>
      <c r="H153" s="209"/>
    </row>
    <row r="154" spans="1:8" s="208" customFormat="1" ht="12.75">
      <c r="A154" s="209"/>
      <c r="B154" s="209"/>
      <c r="C154" s="209"/>
      <c r="D154" s="209"/>
      <c r="E154" s="209"/>
      <c r="F154" s="209"/>
      <c r="G154" s="209"/>
      <c r="H154" s="209"/>
    </row>
    <row r="155" spans="1:8" s="208" customFormat="1" ht="12.75">
      <c r="A155" s="209"/>
      <c r="B155" s="209"/>
      <c r="C155" s="209"/>
      <c r="D155" s="209"/>
      <c r="E155" s="209"/>
      <c r="F155" s="209"/>
      <c r="G155" s="209"/>
      <c r="H155" s="209"/>
    </row>
    <row r="156" spans="1:8" s="208" customFormat="1" ht="12.75">
      <c r="A156" s="209"/>
      <c r="B156" s="209"/>
      <c r="C156" s="210">
        <v>2</v>
      </c>
      <c r="D156" s="209"/>
      <c r="E156" s="209"/>
      <c r="F156" s="209"/>
      <c r="G156" s="209"/>
      <c r="H156" s="209"/>
    </row>
    <row r="157" spans="1:8" s="208" customFormat="1" ht="12.75">
      <c r="A157" s="209"/>
      <c r="B157" s="209">
        <v>1</v>
      </c>
      <c r="C157" s="209" t="s">
        <v>183</v>
      </c>
      <c r="D157" s="209">
        <v>0.020833333333333332</v>
      </c>
      <c r="E157" s="209"/>
      <c r="F157" s="209"/>
      <c r="G157" s="209"/>
      <c r="H157" s="209"/>
    </row>
    <row r="158" spans="1:8" s="208" customFormat="1" ht="12.75">
      <c r="A158" s="209"/>
      <c r="B158" s="209">
        <v>2</v>
      </c>
      <c r="C158" s="209" t="s">
        <v>184</v>
      </c>
      <c r="D158" s="209">
        <v>0.013888888888888888</v>
      </c>
      <c r="E158" s="209"/>
      <c r="F158" s="209"/>
      <c r="G158" s="209"/>
      <c r="H158" s="209"/>
    </row>
    <row r="159" spans="1:8" s="208" customFormat="1" ht="12.75">
      <c r="A159" s="209"/>
      <c r="B159" s="209">
        <v>3</v>
      </c>
      <c r="C159" s="209" t="s">
        <v>185</v>
      </c>
      <c r="D159" s="209"/>
      <c r="E159" s="209"/>
      <c r="F159" s="209"/>
      <c r="G159" s="209"/>
      <c r="H159" s="209"/>
    </row>
    <row r="160" spans="1:8" s="208" customFormat="1" ht="12.75">
      <c r="A160" s="209"/>
      <c r="B160" s="209"/>
      <c r="C160" s="209"/>
      <c r="D160" s="209"/>
      <c r="E160" s="209"/>
      <c r="F160" s="209"/>
      <c r="G160" s="209"/>
      <c r="H160" s="209"/>
    </row>
    <row r="161" spans="1:43" s="208" customFormat="1" ht="12.75">
      <c r="A161" s="212"/>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row>
    <row r="162" spans="1:43" s="208" customFormat="1" ht="12.75">
      <c r="A162" s="212"/>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row>
    <row r="163" spans="1:43" s="208" customFormat="1" ht="12.75">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row>
    <row r="164" spans="1:43" s="208" customFormat="1" ht="12.75">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row>
    <row r="165" spans="1:43" s="208" customFormat="1" ht="12.75">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row>
    <row r="166" spans="1:43" s="208" customFormat="1" ht="12.75">
      <c r="A166" s="212"/>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row>
    <row r="167" spans="1:43" s="208" customFormat="1" ht="12.75">
      <c r="A167" s="212"/>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row>
    <row r="168" spans="1:43" s="208" customFormat="1" ht="12.75">
      <c r="A168" s="212"/>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row>
    <row r="169" spans="1:43" s="208" customFormat="1" ht="12.75">
      <c r="A169" s="212"/>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row>
    <row r="170" spans="1:43" s="208" customFormat="1" ht="12.75">
      <c r="A170" s="212"/>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row>
    <row r="171" spans="1:43" s="208" customFormat="1" ht="12.75">
      <c r="A171" s="212"/>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row>
    <row r="172" spans="1:43" s="208" customFormat="1" ht="12.75">
      <c r="A172" s="212"/>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row>
    <row r="173" spans="1:43" s="208" customFormat="1" ht="12.75">
      <c r="A173" s="212"/>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row>
    <row r="174" spans="1:43" s="208" customFormat="1" ht="12.75">
      <c r="A174" s="212"/>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row>
    <row r="175" spans="1:43" s="208" customFormat="1" ht="12.75">
      <c r="A175" s="212"/>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row>
    <row r="176" spans="1:43" s="208" customFormat="1" ht="12.75">
      <c r="A176" s="212"/>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row>
    <row r="177" spans="1:43" s="208" customFormat="1" ht="12.75">
      <c r="A177" s="212"/>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row>
    <row r="178" spans="1:43" s="208" customFormat="1" ht="12.75">
      <c r="A178" s="212"/>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row>
    <row r="179" spans="1:43" s="208" customFormat="1" ht="12.75">
      <c r="A179" s="212"/>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row>
    <row r="180" spans="1:43" s="208" customFormat="1" ht="12.75">
      <c r="A180" s="212"/>
      <c r="B180" s="212"/>
      <c r="C180" s="212"/>
      <c r="D180" s="212"/>
      <c r="E180" s="212"/>
      <c r="F180" s="212"/>
      <c r="G180" s="212"/>
      <c r="H180" s="212"/>
      <c r="I180" s="212"/>
      <c r="J180" s="212"/>
      <c r="K180" s="212" t="s">
        <v>211</v>
      </c>
      <c r="L180" s="212"/>
      <c r="M180" s="212">
        <f>IF(N132=5,K199,IF(N132=10,FLOOR(K199,10),IF(N132=50,FLOOR(K199,50),IF(N132=100,FLOOR(K199,100)))))</f>
        <v>610</v>
      </c>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row>
    <row r="181" spans="1:43" s="208" customFormat="1" ht="12.75">
      <c r="A181" s="212"/>
      <c r="B181" s="212"/>
      <c r="C181" s="212"/>
      <c r="D181" s="212"/>
      <c r="E181" s="212"/>
      <c r="F181" s="212"/>
      <c r="G181" s="212"/>
      <c r="H181" s="212"/>
      <c r="I181" s="212"/>
      <c r="J181" s="212"/>
      <c r="K181" s="212" t="s">
        <v>213</v>
      </c>
      <c r="L181" s="212"/>
      <c r="M181" s="212">
        <f>K199-M180</f>
        <v>0</v>
      </c>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row>
    <row r="182" spans="1:43" s="208" customFormat="1" ht="12.75">
      <c r="A182" s="212"/>
      <c r="B182" s="212"/>
      <c r="C182" s="212"/>
      <c r="D182" s="212"/>
      <c r="E182" s="212"/>
      <c r="F182" s="212"/>
      <c r="G182" s="212"/>
      <c r="H182" s="212"/>
      <c r="I182" s="212"/>
      <c r="J182" s="212"/>
      <c r="K182" s="212" t="s">
        <v>224</v>
      </c>
      <c r="L182" s="212"/>
      <c r="M182" s="212">
        <f>M181-V198</f>
        <v>0</v>
      </c>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row>
    <row r="183" spans="1:43" s="208" customFormat="1" ht="12.75">
      <c r="A183" s="212"/>
      <c r="B183" s="212"/>
      <c r="C183" s="212"/>
      <c r="D183" s="212"/>
      <c r="E183" s="212"/>
      <c r="F183" s="212"/>
      <c r="G183" s="212"/>
      <c r="H183" s="212"/>
      <c r="I183" s="212"/>
      <c r="J183" s="212"/>
      <c r="K183" s="212" t="s">
        <v>228</v>
      </c>
      <c r="L183" s="212"/>
      <c r="M183" s="212">
        <f>M182-AB198</f>
        <v>0</v>
      </c>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row>
    <row r="184" spans="1:43" s="208" customFormat="1" ht="12.75">
      <c r="A184" s="212"/>
      <c r="B184" s="212"/>
      <c r="C184" s="212"/>
      <c r="D184" s="212"/>
      <c r="E184" s="212"/>
      <c r="F184" s="212"/>
      <c r="G184" s="212"/>
      <c r="H184" s="212"/>
      <c r="I184" s="212"/>
      <c r="J184" s="212"/>
      <c r="K184" s="212" t="s">
        <v>232</v>
      </c>
      <c r="L184" s="212"/>
      <c r="M184" s="212">
        <f>M183-AH198</f>
        <v>0</v>
      </c>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row>
    <row r="185" spans="1:43" s="208" customFormat="1" ht="12.75">
      <c r="A185" s="212"/>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row>
    <row r="186" spans="1:43" s="208" customFormat="1" ht="12.75">
      <c r="A186" s="213"/>
      <c r="B186" s="213"/>
      <c r="C186" s="213"/>
      <c r="D186" s="213"/>
      <c r="E186" s="213"/>
      <c r="F186" s="213"/>
      <c r="G186" s="213"/>
      <c r="H186" s="213"/>
      <c r="I186" s="213"/>
      <c r="J186" s="213"/>
      <c r="K186" s="213"/>
      <c r="L186" s="213"/>
      <c r="M186" s="213"/>
      <c r="N186" s="213"/>
      <c r="O186" s="213"/>
      <c r="P186" s="213"/>
      <c r="Q186" s="213"/>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row>
    <row r="187" spans="1:43" s="208" customFormat="1" ht="15">
      <c r="A187" s="214" t="s">
        <v>27</v>
      </c>
      <c r="B187" s="214"/>
      <c r="C187" s="214"/>
      <c r="D187" s="214"/>
      <c r="E187" s="214"/>
      <c r="F187" s="214"/>
      <c r="G187" s="214"/>
      <c r="H187" s="214"/>
      <c r="I187" s="213"/>
      <c r="J187" s="213"/>
      <c r="K187" s="213"/>
      <c r="L187" s="213"/>
      <c r="M187" s="213"/>
      <c r="N187" s="213"/>
      <c r="O187" s="213"/>
      <c r="P187" s="213"/>
      <c r="Q187" s="213"/>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row>
    <row r="188" spans="1:43" s="208" customFormat="1" ht="12.75">
      <c r="A188" s="215" t="s">
        <v>28</v>
      </c>
      <c r="B188" s="213"/>
      <c r="C188" s="213"/>
      <c r="D188" s="213"/>
      <c r="E188" s="213"/>
      <c r="F188" s="213"/>
      <c r="G188" s="213"/>
      <c r="H188" s="213"/>
      <c r="I188" s="213"/>
      <c r="J188" s="213"/>
      <c r="K188" s="213"/>
      <c r="L188" s="213"/>
      <c r="M188" s="213"/>
      <c r="N188" s="213"/>
      <c r="O188" s="213"/>
      <c r="P188" s="213"/>
      <c r="Q188" s="213"/>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row>
    <row r="189" spans="1:43" s="208" customFormat="1" ht="12.75">
      <c r="A189" s="216" t="s">
        <v>0</v>
      </c>
      <c r="B189" s="216" t="s">
        <v>2</v>
      </c>
      <c r="C189" s="217" t="s">
        <v>4</v>
      </c>
      <c r="D189" s="216" t="s">
        <v>12</v>
      </c>
      <c r="E189" s="216" t="s">
        <v>6</v>
      </c>
      <c r="F189" s="216" t="s">
        <v>6</v>
      </c>
      <c r="G189" s="216" t="s">
        <v>1</v>
      </c>
      <c r="H189" s="216" t="s">
        <v>1</v>
      </c>
      <c r="I189" s="216" t="s">
        <v>15</v>
      </c>
      <c r="J189" s="216" t="s">
        <v>17</v>
      </c>
      <c r="K189" s="216" t="s">
        <v>31</v>
      </c>
      <c r="L189" s="216" t="s">
        <v>35</v>
      </c>
      <c r="M189" s="216" t="s">
        <v>34</v>
      </c>
      <c r="N189" s="216" t="s">
        <v>34</v>
      </c>
      <c r="O189" s="218" t="s">
        <v>1</v>
      </c>
      <c r="P189" s="218" t="s">
        <v>147</v>
      </c>
      <c r="Q189" s="218" t="s">
        <v>5</v>
      </c>
      <c r="R189" s="219" t="s">
        <v>217</v>
      </c>
      <c r="S189" s="219" t="s">
        <v>219</v>
      </c>
      <c r="T189" s="219"/>
      <c r="U189" s="219" t="s">
        <v>221</v>
      </c>
      <c r="V189" s="219" t="s">
        <v>222</v>
      </c>
      <c r="W189" s="218" t="s">
        <v>5</v>
      </c>
      <c r="X189" s="219"/>
      <c r="Y189" s="219"/>
      <c r="Z189" s="219"/>
      <c r="AA189" s="219" t="s">
        <v>226</v>
      </c>
      <c r="AB189" s="219" t="s">
        <v>222</v>
      </c>
      <c r="AC189" s="218" t="s">
        <v>5</v>
      </c>
      <c r="AD189" s="219"/>
      <c r="AE189" s="219"/>
      <c r="AF189" s="219"/>
      <c r="AG189" s="219" t="s">
        <v>230</v>
      </c>
      <c r="AH189" s="219" t="s">
        <v>222</v>
      </c>
      <c r="AI189" s="212"/>
      <c r="AJ189" s="219" t="s">
        <v>5</v>
      </c>
      <c r="AK189" s="219" t="s">
        <v>1</v>
      </c>
      <c r="AL189" s="212"/>
      <c r="AM189" s="212"/>
      <c r="AN189" s="212"/>
      <c r="AO189" s="212"/>
      <c r="AP189" s="212"/>
      <c r="AQ189" s="212"/>
    </row>
    <row r="190" spans="1:43" s="208" customFormat="1" ht="12.75">
      <c r="A190" s="216"/>
      <c r="B190" s="216" t="s">
        <v>3</v>
      </c>
      <c r="C190" s="217" t="s">
        <v>5</v>
      </c>
      <c r="D190" s="216" t="s">
        <v>13</v>
      </c>
      <c r="E190" s="216" t="s">
        <v>7</v>
      </c>
      <c r="F190" s="216" t="s">
        <v>19</v>
      </c>
      <c r="G190" s="216" t="s">
        <v>19</v>
      </c>
      <c r="H190" s="216" t="s">
        <v>14</v>
      </c>
      <c r="I190" s="216" t="s">
        <v>16</v>
      </c>
      <c r="J190" s="216" t="s">
        <v>18</v>
      </c>
      <c r="K190" s="216" t="s">
        <v>8</v>
      </c>
      <c r="L190" s="216" t="s">
        <v>0</v>
      </c>
      <c r="M190" s="216" t="s">
        <v>0</v>
      </c>
      <c r="N190" s="216" t="s">
        <v>1</v>
      </c>
      <c r="O190" s="218" t="s">
        <v>212</v>
      </c>
      <c r="P190" s="218" t="s">
        <v>85</v>
      </c>
      <c r="Q190" s="218" t="s">
        <v>216</v>
      </c>
      <c r="R190" s="219" t="s">
        <v>218</v>
      </c>
      <c r="S190" s="219" t="s">
        <v>220</v>
      </c>
      <c r="T190" s="219"/>
      <c r="U190" s="219" t="s">
        <v>220</v>
      </c>
      <c r="V190" s="219" t="s">
        <v>223</v>
      </c>
      <c r="W190" s="218" t="s">
        <v>225</v>
      </c>
      <c r="X190" s="219"/>
      <c r="Y190" s="219"/>
      <c r="Z190" s="219"/>
      <c r="AA190" s="219" t="s">
        <v>220</v>
      </c>
      <c r="AB190" s="219" t="s">
        <v>227</v>
      </c>
      <c r="AC190" s="218" t="s">
        <v>229</v>
      </c>
      <c r="AD190" s="219"/>
      <c r="AE190" s="219"/>
      <c r="AF190" s="219"/>
      <c r="AG190" s="219" t="s">
        <v>220</v>
      </c>
      <c r="AH190" s="219" t="s">
        <v>231</v>
      </c>
      <c r="AI190" s="212"/>
      <c r="AJ190" s="219" t="s">
        <v>214</v>
      </c>
      <c r="AK190" s="219" t="s">
        <v>220</v>
      </c>
      <c r="AL190" s="212"/>
      <c r="AM190" s="212"/>
      <c r="AN190" s="212"/>
      <c r="AO190" s="212"/>
      <c r="AP190" s="212"/>
      <c r="AQ190" s="212"/>
    </row>
    <row r="191" spans="1:43" s="208" customFormat="1" ht="12.75">
      <c r="A191" s="213" t="str">
        <f>A14</f>
        <v>BLANC</v>
      </c>
      <c r="B191" s="213">
        <f>B14</f>
        <v>1</v>
      </c>
      <c r="C191" s="220">
        <f>C14</f>
        <v>100</v>
      </c>
      <c r="D191" s="213">
        <f>B191*C191</f>
        <v>100</v>
      </c>
      <c r="E191" s="221">
        <f>IF(L191&gt;$L$209,10,0)</f>
        <v>0</v>
      </c>
      <c r="F191" s="221">
        <f aca="true" t="shared" si="22" ref="F191:F197">C191-(C191*E191/100)</f>
        <v>100</v>
      </c>
      <c r="G191" s="213">
        <f>F191*B191</f>
        <v>100</v>
      </c>
      <c r="H191" s="213">
        <f>IF(G191&gt;D207,D207,G191)</f>
        <v>100</v>
      </c>
      <c r="I191" s="213">
        <f>D207-H191</f>
        <v>3740</v>
      </c>
      <c r="J191" s="213">
        <f>FLOOR((H191/B191)/$C$27,5)</f>
        <v>15</v>
      </c>
      <c r="K191" s="213">
        <f>J191*B191</f>
        <v>15</v>
      </c>
      <c r="L191" s="213">
        <f>IF(C191&gt;=1,$D$200-L200,0)</f>
        <v>1</v>
      </c>
      <c r="M191" s="213" t="str">
        <f>A191</f>
        <v>BLANC</v>
      </c>
      <c r="N191" s="213">
        <f>B191</f>
        <v>1</v>
      </c>
      <c r="O191" s="213">
        <f>IF(C191&lt;&gt;0,B191,0)</f>
        <v>1</v>
      </c>
      <c r="P191" s="213">
        <f>IF(O191&lt;&gt;0,C191,0)</f>
        <v>100</v>
      </c>
      <c r="Q191" s="213">
        <f aca="true" t="shared" si="23" ref="Q191:Q196">IF(O191&gt;=$M$181,0,O191)</f>
        <v>0</v>
      </c>
      <c r="R191" s="212">
        <f>IF(MAX(R192:R197)&lt;&gt;0,0,IF(Q191&lt;&gt;0,IF(P191&lt;&gt;0,1,0),0))</f>
        <v>0</v>
      </c>
      <c r="S191" s="212">
        <f>R191*O191</f>
        <v>0</v>
      </c>
      <c r="T191" s="212">
        <f>IF(ISERROR(ROUNDDOWN($M$181/Q191,0)),0,ROUNDDOWN($M$181/Q191,0))</f>
        <v>0</v>
      </c>
      <c r="U191" s="212">
        <f>IF(MAX(U192:U197)&lt;&gt;0,0,T191)</f>
        <v>0</v>
      </c>
      <c r="V191" s="212">
        <f>U191*O191</f>
        <v>0</v>
      </c>
      <c r="W191" s="213">
        <f>IF($M$182&lt;O191,0,O191)</f>
        <v>0</v>
      </c>
      <c r="X191" s="212"/>
      <c r="Y191" s="212"/>
      <c r="Z191" s="212">
        <f>IF(ISERROR(ROUNDDOWN($M$182/W191,0)),0,ROUNDDOWN($M$182/W191,0))</f>
        <v>0</v>
      </c>
      <c r="AA191" s="212">
        <f>IF(MAX(AA192:AA197)&lt;&gt;0,0,Z191)</f>
        <v>0</v>
      </c>
      <c r="AB191" s="212">
        <f>AA191*$O191</f>
        <v>0</v>
      </c>
      <c r="AC191" s="213">
        <f>IF($M$183&lt;O191,0,O191)</f>
        <v>0</v>
      </c>
      <c r="AD191" s="212"/>
      <c r="AE191" s="212"/>
      <c r="AF191" s="212">
        <f>IF(ISERROR(ROUNDDOWN($M$183/AC191,0)),0,ROUNDDOWN($M$183/AC191,0))</f>
        <v>0</v>
      </c>
      <c r="AG191" s="212">
        <f>IF(MAX(AG192:AG197)&lt;&gt;0,0,AF191)</f>
        <v>0</v>
      </c>
      <c r="AH191" s="212">
        <f>AG191*$O191</f>
        <v>0</v>
      </c>
      <c r="AI191" s="212" t="str">
        <f>A191</f>
        <v>BLANC</v>
      </c>
      <c r="AJ191" s="212">
        <f>J191-U191-AA191-AG191</f>
        <v>15</v>
      </c>
      <c r="AK191" s="212">
        <f>AJ191*B191</f>
        <v>15</v>
      </c>
      <c r="AL191" s="212"/>
      <c r="AM191" s="212"/>
      <c r="AN191" s="212"/>
      <c r="AO191" s="212"/>
      <c r="AP191" s="212"/>
      <c r="AQ191" s="212"/>
    </row>
    <row r="192" spans="1:43" s="208" customFormat="1" ht="12.75">
      <c r="A192" s="213" t="str">
        <f aca="true" t="shared" si="24" ref="A192:A198">A15</f>
        <v>ROUGE</v>
      </c>
      <c r="B192" s="213">
        <f aca="true" t="shared" si="25" ref="B192:B197">B15</f>
        <v>5</v>
      </c>
      <c r="C192" s="220">
        <f aca="true" t="shared" si="26" ref="C192:C197">C15</f>
        <v>100</v>
      </c>
      <c r="D192" s="213">
        <f aca="true" t="shared" si="27" ref="D192:D197">B192*C192</f>
        <v>500</v>
      </c>
      <c r="E192" s="221">
        <f>(100-(100-D204))*D218</f>
        <v>12</v>
      </c>
      <c r="F192" s="221">
        <f t="shared" si="22"/>
        <v>88</v>
      </c>
      <c r="G192" s="213">
        <f aca="true" t="shared" si="28" ref="G192:G197">F192*B192</f>
        <v>440</v>
      </c>
      <c r="H192" s="213">
        <f aca="true" t="shared" si="29" ref="H192:H197">IF(G192&gt;I191,I191,G192)</f>
        <v>440</v>
      </c>
      <c r="I192" s="213">
        <f aca="true" t="shared" si="30" ref="I192:I197">I191-H192</f>
        <v>3300</v>
      </c>
      <c r="J192" s="213">
        <f aca="true" t="shared" si="31" ref="J192:J197">FLOOR((H192/B192)/$C$27,1)</f>
        <v>14</v>
      </c>
      <c r="K192" s="213">
        <f aca="true" t="shared" si="32" ref="K192:K197">J192*B192</f>
        <v>70</v>
      </c>
      <c r="L192" s="213">
        <f aca="true" t="shared" si="33" ref="L192:L197">IF(C192&gt;=1,$D$200-L201,0)</f>
        <v>2</v>
      </c>
      <c r="M192" s="213" t="str">
        <f aca="true" t="shared" si="34" ref="M192:M197">A192</f>
        <v>ROUGE</v>
      </c>
      <c r="N192" s="213">
        <f aca="true" t="shared" si="35" ref="N192:N197">B192</f>
        <v>5</v>
      </c>
      <c r="O192" s="213">
        <f aca="true" t="shared" si="36" ref="O192:O197">IF(C192&lt;&gt;0,B192,0)</f>
        <v>5</v>
      </c>
      <c r="P192" s="213">
        <f aca="true" t="shared" si="37" ref="P192:P197">IF(O192&lt;&gt;0,C192,0)</f>
        <v>100</v>
      </c>
      <c r="Q192" s="213">
        <f t="shared" si="23"/>
        <v>0</v>
      </c>
      <c r="R192" s="212">
        <f>IF(MAX(R193:R197)&lt;&gt;0,0,IF(Q192&lt;&gt;0,IF(P192&lt;&gt;0,1,0),0))</f>
        <v>0</v>
      </c>
      <c r="S192" s="212">
        <f aca="true" t="shared" si="38" ref="S192:S197">R192*O192</f>
        <v>0</v>
      </c>
      <c r="T192" s="212">
        <f aca="true" t="shared" si="39" ref="T192:T197">IF(ISERROR(ROUNDDOWN($M$181/Q192,0)),0,ROUNDDOWN($M$181/Q192,0))</f>
        <v>0</v>
      </c>
      <c r="U192" s="212">
        <f>IF(MAX(U193:U197)&lt;&gt;0,0,T192)</f>
        <v>0</v>
      </c>
      <c r="V192" s="212">
        <f aca="true" t="shared" si="40" ref="V192:V197">U192*O192</f>
        <v>0</v>
      </c>
      <c r="W192" s="213">
        <f aca="true" t="shared" si="41" ref="W192:W197">IF($M$182&lt;O192,0,O192)</f>
        <v>0</v>
      </c>
      <c r="X192" s="212"/>
      <c r="Y192" s="212"/>
      <c r="Z192" s="212">
        <f aca="true" t="shared" si="42" ref="Z192:Z197">IF(ISERROR(ROUNDDOWN($M$182/W192,0)),0,ROUNDDOWN($M$182/W192,0))</f>
        <v>0</v>
      </c>
      <c r="AA192" s="212">
        <f>IF(MAX(AA193:AA197)&lt;&gt;0,0,Z192)</f>
        <v>0</v>
      </c>
      <c r="AB192" s="212">
        <f aca="true" t="shared" si="43" ref="AB192:AB197">AA192*$O192</f>
        <v>0</v>
      </c>
      <c r="AC192" s="213">
        <f aca="true" t="shared" si="44" ref="AC192:AC197">IF($M$183&lt;O192,0,O192)</f>
        <v>0</v>
      </c>
      <c r="AD192" s="212"/>
      <c r="AE192" s="212"/>
      <c r="AF192" s="212">
        <f aca="true" t="shared" si="45" ref="AF192:AF197">IF(ISERROR(ROUNDDOWN($M$183/AC192,0)),0,ROUNDDOWN($M$183/AC192,0))</f>
        <v>0</v>
      </c>
      <c r="AG192" s="212">
        <f>IF(MAX(AG193:AG197)&lt;&gt;0,0,AF192)</f>
        <v>0</v>
      </c>
      <c r="AH192" s="212">
        <f aca="true" t="shared" si="46" ref="AH192:AH197">AG192*$O192</f>
        <v>0</v>
      </c>
      <c r="AI192" s="212" t="str">
        <f aca="true" t="shared" si="47" ref="AI192:AI197">A192</f>
        <v>ROUGE</v>
      </c>
      <c r="AJ192" s="212">
        <f aca="true" t="shared" si="48" ref="AJ192:AJ197">J192-U192-AA192-AG192</f>
        <v>14</v>
      </c>
      <c r="AK192" s="212">
        <f aca="true" t="shared" si="49" ref="AK192:AK197">AJ192*B192</f>
        <v>70</v>
      </c>
      <c r="AL192" s="212"/>
      <c r="AM192" s="212"/>
      <c r="AN192" s="212"/>
      <c r="AO192" s="212"/>
      <c r="AP192" s="212"/>
      <c r="AQ192" s="212"/>
    </row>
    <row r="193" spans="1:43" s="208" customFormat="1" ht="12.75">
      <c r="A193" s="213" t="str">
        <f t="shared" si="24"/>
        <v>BLEU</v>
      </c>
      <c r="B193" s="213">
        <f t="shared" si="25"/>
        <v>10</v>
      </c>
      <c r="C193" s="220">
        <f t="shared" si="26"/>
        <v>100</v>
      </c>
      <c r="D193" s="213">
        <f t="shared" si="27"/>
        <v>1000</v>
      </c>
      <c r="E193" s="221">
        <f>IF(L193&gt;$L$209,10,0)</f>
        <v>10</v>
      </c>
      <c r="F193" s="221">
        <f t="shared" si="22"/>
        <v>90</v>
      </c>
      <c r="G193" s="213">
        <f t="shared" si="28"/>
        <v>900</v>
      </c>
      <c r="H193" s="213">
        <f t="shared" si="29"/>
        <v>900</v>
      </c>
      <c r="I193" s="213">
        <f t="shared" si="30"/>
        <v>2400</v>
      </c>
      <c r="J193" s="213">
        <f t="shared" si="31"/>
        <v>15</v>
      </c>
      <c r="K193" s="213">
        <f t="shared" si="32"/>
        <v>150</v>
      </c>
      <c r="L193" s="213">
        <f t="shared" si="33"/>
        <v>3</v>
      </c>
      <c r="M193" s="213" t="str">
        <f t="shared" si="34"/>
        <v>BLEU</v>
      </c>
      <c r="N193" s="213">
        <f t="shared" si="35"/>
        <v>10</v>
      </c>
      <c r="O193" s="213">
        <f t="shared" si="36"/>
        <v>10</v>
      </c>
      <c r="P193" s="213">
        <f t="shared" si="37"/>
        <v>100</v>
      </c>
      <c r="Q193" s="213">
        <f t="shared" si="23"/>
        <v>0</v>
      </c>
      <c r="R193" s="212">
        <f>IF(MAX(R194:R197)&lt;&gt;0,0,IF(Q193&lt;&gt;0,IF(P193&lt;&gt;0,1,0),0))</f>
        <v>0</v>
      </c>
      <c r="S193" s="212">
        <f t="shared" si="38"/>
        <v>0</v>
      </c>
      <c r="T193" s="212">
        <f t="shared" si="39"/>
        <v>0</v>
      </c>
      <c r="U193" s="212">
        <f>IF(MAX(U194:U197)&lt;&gt;0,0,T193)</f>
        <v>0</v>
      </c>
      <c r="V193" s="212">
        <f t="shared" si="40"/>
        <v>0</v>
      </c>
      <c r="W193" s="213">
        <f t="shared" si="41"/>
        <v>0</v>
      </c>
      <c r="X193" s="212"/>
      <c r="Y193" s="212"/>
      <c r="Z193" s="212">
        <f t="shared" si="42"/>
        <v>0</v>
      </c>
      <c r="AA193" s="212">
        <f>IF(MAX(AA194:AA197)&lt;&gt;0,0,Z193)</f>
        <v>0</v>
      </c>
      <c r="AB193" s="212">
        <f t="shared" si="43"/>
        <v>0</v>
      </c>
      <c r="AC193" s="213">
        <f t="shared" si="44"/>
        <v>0</v>
      </c>
      <c r="AD193" s="212"/>
      <c r="AE193" s="212"/>
      <c r="AF193" s="212">
        <f t="shared" si="45"/>
        <v>0</v>
      </c>
      <c r="AG193" s="212">
        <f>IF(MAX(AG194:AG197)&lt;&gt;0,0,AF193)</f>
        <v>0</v>
      </c>
      <c r="AH193" s="212">
        <f t="shared" si="46"/>
        <v>0</v>
      </c>
      <c r="AI193" s="212" t="str">
        <f t="shared" si="47"/>
        <v>BLEU</v>
      </c>
      <c r="AJ193" s="212">
        <f t="shared" si="48"/>
        <v>15</v>
      </c>
      <c r="AK193" s="212">
        <f t="shared" si="49"/>
        <v>150</v>
      </c>
      <c r="AL193" s="212"/>
      <c r="AM193" s="212"/>
      <c r="AN193" s="212"/>
      <c r="AO193" s="212"/>
      <c r="AP193" s="212"/>
      <c r="AQ193" s="212"/>
    </row>
    <row r="194" spans="1:43" s="208" customFormat="1" ht="12.75">
      <c r="A194" s="213" t="str">
        <f t="shared" si="24"/>
        <v>VERT</v>
      </c>
      <c r="B194" s="213">
        <f t="shared" si="25"/>
        <v>25</v>
      </c>
      <c r="C194" s="220">
        <f t="shared" si="26"/>
        <v>100</v>
      </c>
      <c r="D194" s="213">
        <f t="shared" si="27"/>
        <v>2500</v>
      </c>
      <c r="E194" s="221">
        <f>IF(L194&gt;$L$209,10,0)</f>
        <v>10</v>
      </c>
      <c r="F194" s="221">
        <f t="shared" si="22"/>
        <v>90</v>
      </c>
      <c r="G194" s="213">
        <f t="shared" si="28"/>
        <v>2250</v>
      </c>
      <c r="H194" s="213">
        <f t="shared" si="29"/>
        <v>2250</v>
      </c>
      <c r="I194" s="213">
        <f t="shared" si="30"/>
        <v>150</v>
      </c>
      <c r="J194" s="213">
        <f t="shared" si="31"/>
        <v>15</v>
      </c>
      <c r="K194" s="213">
        <f t="shared" si="32"/>
        <v>375</v>
      </c>
      <c r="L194" s="213">
        <f t="shared" si="33"/>
        <v>4</v>
      </c>
      <c r="M194" s="213" t="str">
        <f t="shared" si="34"/>
        <v>VERT</v>
      </c>
      <c r="N194" s="213">
        <f t="shared" si="35"/>
        <v>25</v>
      </c>
      <c r="O194" s="213">
        <f t="shared" si="36"/>
        <v>25</v>
      </c>
      <c r="P194" s="213">
        <f t="shared" si="37"/>
        <v>100</v>
      </c>
      <c r="Q194" s="213">
        <f t="shared" si="23"/>
        <v>0</v>
      </c>
      <c r="R194" s="212">
        <f>IF(MAX(R195:R197)&lt;&gt;0,0,IF(Q194&lt;&gt;0,IF(P194&lt;&gt;0,1,0),0))</f>
        <v>0</v>
      </c>
      <c r="S194" s="212">
        <f t="shared" si="38"/>
        <v>0</v>
      </c>
      <c r="T194" s="212">
        <f t="shared" si="39"/>
        <v>0</v>
      </c>
      <c r="U194" s="212">
        <f>IF(MAX(U195:U197)&lt;&gt;0,0,T194)</f>
        <v>0</v>
      </c>
      <c r="V194" s="212">
        <f t="shared" si="40"/>
        <v>0</v>
      </c>
      <c r="W194" s="213">
        <f t="shared" si="41"/>
        <v>0</v>
      </c>
      <c r="X194" s="212"/>
      <c r="Y194" s="212"/>
      <c r="Z194" s="212">
        <f t="shared" si="42"/>
        <v>0</v>
      </c>
      <c r="AA194" s="212">
        <f>IF(MAX(AA195:AA197)&lt;&gt;0,0,Z194)</f>
        <v>0</v>
      </c>
      <c r="AB194" s="212">
        <f t="shared" si="43"/>
        <v>0</v>
      </c>
      <c r="AC194" s="213">
        <f t="shared" si="44"/>
        <v>0</v>
      </c>
      <c r="AD194" s="212"/>
      <c r="AE194" s="212"/>
      <c r="AF194" s="212">
        <f t="shared" si="45"/>
        <v>0</v>
      </c>
      <c r="AG194" s="212">
        <f>IF(MAX(AG195:AG197)&lt;&gt;0,0,AF194)</f>
        <v>0</v>
      </c>
      <c r="AH194" s="212">
        <f t="shared" si="46"/>
        <v>0</v>
      </c>
      <c r="AI194" s="212" t="str">
        <f t="shared" si="47"/>
        <v>VERT</v>
      </c>
      <c r="AJ194" s="212">
        <f t="shared" si="48"/>
        <v>15</v>
      </c>
      <c r="AK194" s="212">
        <f t="shared" si="49"/>
        <v>375</v>
      </c>
      <c r="AL194" s="212"/>
      <c r="AM194" s="212"/>
      <c r="AN194" s="212"/>
      <c r="AO194" s="212"/>
      <c r="AP194" s="212"/>
      <c r="AQ194" s="212"/>
    </row>
    <row r="195" spans="1:43" s="208" customFormat="1" ht="12.75">
      <c r="A195" s="213" t="str">
        <f t="shared" si="24"/>
        <v>JAUNE</v>
      </c>
      <c r="B195" s="213">
        <f t="shared" si="25"/>
        <v>50</v>
      </c>
      <c r="C195" s="220">
        <f t="shared" si="26"/>
        <v>50</v>
      </c>
      <c r="D195" s="213">
        <f t="shared" si="27"/>
        <v>2500</v>
      </c>
      <c r="E195" s="221">
        <f>IF(L195&gt;$L$209,10,0)</f>
        <v>10</v>
      </c>
      <c r="F195" s="221">
        <f t="shared" si="22"/>
        <v>45</v>
      </c>
      <c r="G195" s="213">
        <f t="shared" si="28"/>
        <v>2250</v>
      </c>
      <c r="H195" s="213">
        <f t="shared" si="29"/>
        <v>150</v>
      </c>
      <c r="I195" s="213">
        <f t="shared" si="30"/>
        <v>0</v>
      </c>
      <c r="J195" s="213">
        <f t="shared" si="31"/>
        <v>0</v>
      </c>
      <c r="K195" s="213">
        <f t="shared" si="32"/>
        <v>0</v>
      </c>
      <c r="L195" s="213">
        <f t="shared" si="33"/>
        <v>5</v>
      </c>
      <c r="M195" s="213" t="str">
        <f t="shared" si="34"/>
        <v>JAUNE</v>
      </c>
      <c r="N195" s="213">
        <f t="shared" si="35"/>
        <v>50</v>
      </c>
      <c r="O195" s="213">
        <f t="shared" si="36"/>
        <v>50</v>
      </c>
      <c r="P195" s="213">
        <f t="shared" si="37"/>
        <v>50</v>
      </c>
      <c r="Q195" s="213">
        <f t="shared" si="23"/>
        <v>0</v>
      </c>
      <c r="R195" s="212">
        <f>IF(MAX(R196:R197)&lt;&gt;0,0,IF(Q195&lt;&gt;0,IF(P195&lt;&gt;0,1,0),0))</f>
        <v>0</v>
      </c>
      <c r="S195" s="212">
        <f t="shared" si="38"/>
        <v>0</v>
      </c>
      <c r="T195" s="212">
        <f t="shared" si="39"/>
        <v>0</v>
      </c>
      <c r="U195" s="212">
        <f>IF(MAX(U196:U197)&lt;&gt;0,0,T195)</f>
        <v>0</v>
      </c>
      <c r="V195" s="212">
        <f t="shared" si="40"/>
        <v>0</v>
      </c>
      <c r="W195" s="213">
        <f t="shared" si="41"/>
        <v>0</v>
      </c>
      <c r="X195" s="212"/>
      <c r="Y195" s="212"/>
      <c r="Z195" s="212">
        <f t="shared" si="42"/>
        <v>0</v>
      </c>
      <c r="AA195" s="212">
        <f>IF(MAX(AA196:AA197)&lt;&gt;0,0,Z195)</f>
        <v>0</v>
      </c>
      <c r="AB195" s="212">
        <f t="shared" si="43"/>
        <v>0</v>
      </c>
      <c r="AC195" s="213">
        <f t="shared" si="44"/>
        <v>0</v>
      </c>
      <c r="AD195" s="212"/>
      <c r="AE195" s="212"/>
      <c r="AF195" s="212">
        <f t="shared" si="45"/>
        <v>0</v>
      </c>
      <c r="AG195" s="212">
        <f>IF(MAX(AG196:AG197)&lt;&gt;0,0,AF195)</f>
        <v>0</v>
      </c>
      <c r="AH195" s="212">
        <f t="shared" si="46"/>
        <v>0</v>
      </c>
      <c r="AI195" s="212" t="str">
        <f t="shared" si="47"/>
        <v>JAUNE</v>
      </c>
      <c r="AJ195" s="212">
        <f t="shared" si="48"/>
        <v>0</v>
      </c>
      <c r="AK195" s="212">
        <f t="shared" si="49"/>
        <v>0</v>
      </c>
      <c r="AL195" s="212"/>
      <c r="AM195" s="212"/>
      <c r="AN195" s="212"/>
      <c r="AO195" s="212"/>
      <c r="AP195" s="212"/>
      <c r="AQ195" s="212"/>
    </row>
    <row r="196" spans="1:43" s="208" customFormat="1" ht="12.75">
      <c r="A196" s="213" t="str">
        <f t="shared" si="24"/>
        <v>NOIR</v>
      </c>
      <c r="B196" s="213">
        <f t="shared" si="25"/>
        <v>100</v>
      </c>
      <c r="C196" s="220">
        <f t="shared" si="26"/>
        <v>50</v>
      </c>
      <c r="D196" s="213">
        <f t="shared" si="27"/>
        <v>5000</v>
      </c>
      <c r="E196" s="221">
        <f>IF(L196&gt;$L$209,10,0)</f>
        <v>10</v>
      </c>
      <c r="F196" s="221">
        <f t="shared" si="22"/>
        <v>45</v>
      </c>
      <c r="G196" s="213">
        <f t="shared" si="28"/>
        <v>4500</v>
      </c>
      <c r="H196" s="213">
        <f t="shared" si="29"/>
        <v>0</v>
      </c>
      <c r="I196" s="213">
        <f t="shared" si="30"/>
        <v>0</v>
      </c>
      <c r="J196" s="213">
        <f t="shared" si="31"/>
        <v>0</v>
      </c>
      <c r="K196" s="213">
        <f t="shared" si="32"/>
        <v>0</v>
      </c>
      <c r="L196" s="213">
        <f t="shared" si="33"/>
        <v>6</v>
      </c>
      <c r="M196" s="213" t="str">
        <f t="shared" si="34"/>
        <v>NOIR</v>
      </c>
      <c r="N196" s="213">
        <f t="shared" si="35"/>
        <v>100</v>
      </c>
      <c r="O196" s="213">
        <f t="shared" si="36"/>
        <v>100</v>
      </c>
      <c r="P196" s="213">
        <f t="shared" si="37"/>
        <v>50</v>
      </c>
      <c r="Q196" s="213">
        <f t="shared" si="23"/>
        <v>0</v>
      </c>
      <c r="R196" s="212">
        <f>IF(MAX(R197)&lt;&gt;0,0,IF(Q196&lt;&gt;0,IF(P196&lt;&gt;0,1,0),0))</f>
        <v>0</v>
      </c>
      <c r="S196" s="212">
        <f t="shared" si="38"/>
        <v>0</v>
      </c>
      <c r="T196" s="212">
        <f t="shared" si="39"/>
        <v>0</v>
      </c>
      <c r="U196" s="212">
        <f>IF(U197&lt;&gt;0,0,T196)</f>
        <v>0</v>
      </c>
      <c r="V196" s="212">
        <f t="shared" si="40"/>
        <v>0</v>
      </c>
      <c r="W196" s="213">
        <f t="shared" si="41"/>
        <v>0</v>
      </c>
      <c r="X196" s="212"/>
      <c r="Y196" s="212"/>
      <c r="Z196" s="212">
        <f t="shared" si="42"/>
        <v>0</v>
      </c>
      <c r="AA196" s="212">
        <f>IF(AA197&lt;&gt;0,0,Z196)</f>
        <v>0</v>
      </c>
      <c r="AB196" s="212">
        <f t="shared" si="43"/>
        <v>0</v>
      </c>
      <c r="AC196" s="213">
        <f t="shared" si="44"/>
        <v>0</v>
      </c>
      <c r="AD196" s="212"/>
      <c r="AE196" s="212"/>
      <c r="AF196" s="212">
        <f t="shared" si="45"/>
        <v>0</v>
      </c>
      <c r="AG196" s="212">
        <f>IF(AG197&lt;&gt;0,0,AF196)</f>
        <v>0</v>
      </c>
      <c r="AH196" s="212">
        <f t="shared" si="46"/>
        <v>0</v>
      </c>
      <c r="AI196" s="212" t="str">
        <f t="shared" si="47"/>
        <v>NOIR</v>
      </c>
      <c r="AJ196" s="212">
        <f t="shared" si="48"/>
        <v>0</v>
      </c>
      <c r="AK196" s="212">
        <f t="shared" si="49"/>
        <v>0</v>
      </c>
      <c r="AL196" s="212"/>
      <c r="AM196" s="212"/>
      <c r="AN196" s="212"/>
      <c r="AO196" s="212"/>
      <c r="AP196" s="212"/>
      <c r="AQ196" s="212"/>
    </row>
    <row r="197" spans="1:43" s="208" customFormat="1" ht="12.75">
      <c r="A197" s="213" t="str">
        <f t="shared" si="24"/>
        <v>MAUVE</v>
      </c>
      <c r="B197" s="213">
        <f t="shared" si="25"/>
        <v>500</v>
      </c>
      <c r="C197" s="220">
        <f t="shared" si="26"/>
        <v>0</v>
      </c>
      <c r="D197" s="213">
        <f t="shared" si="27"/>
        <v>0</v>
      </c>
      <c r="E197" s="221">
        <f>IF(L197&gt;$L$209,10,0)</f>
        <v>0</v>
      </c>
      <c r="F197" s="221">
        <f t="shared" si="22"/>
        <v>0</v>
      </c>
      <c r="G197" s="213">
        <f t="shared" si="28"/>
        <v>0</v>
      </c>
      <c r="H197" s="213">
        <f t="shared" si="29"/>
        <v>0</v>
      </c>
      <c r="I197" s="213">
        <f t="shared" si="30"/>
        <v>0</v>
      </c>
      <c r="J197" s="213">
        <f t="shared" si="31"/>
        <v>0</v>
      </c>
      <c r="K197" s="213">
        <f t="shared" si="32"/>
        <v>0</v>
      </c>
      <c r="L197" s="213">
        <f t="shared" si="33"/>
        <v>0</v>
      </c>
      <c r="M197" s="213" t="str">
        <f t="shared" si="34"/>
        <v>MAUVE</v>
      </c>
      <c r="N197" s="213">
        <f t="shared" si="35"/>
        <v>500</v>
      </c>
      <c r="O197" s="213">
        <f t="shared" si="36"/>
        <v>0</v>
      </c>
      <c r="P197" s="213">
        <f t="shared" si="37"/>
        <v>0</v>
      </c>
      <c r="Q197" s="213">
        <f>IF(O197&gt;=$M$181,0,O197)</f>
        <v>0</v>
      </c>
      <c r="R197" s="212">
        <f>IF(Q197&lt;&gt;0,IF(P197&lt;&gt;0,1,0),0)</f>
        <v>0</v>
      </c>
      <c r="S197" s="212">
        <f t="shared" si="38"/>
        <v>0</v>
      </c>
      <c r="T197" s="212">
        <f t="shared" si="39"/>
        <v>0</v>
      </c>
      <c r="U197" s="212">
        <f>T197</f>
        <v>0</v>
      </c>
      <c r="V197" s="212">
        <f t="shared" si="40"/>
        <v>0</v>
      </c>
      <c r="W197" s="213">
        <f t="shared" si="41"/>
        <v>0</v>
      </c>
      <c r="X197" s="212"/>
      <c r="Y197" s="212"/>
      <c r="Z197" s="212">
        <f t="shared" si="42"/>
        <v>0</v>
      </c>
      <c r="AA197" s="212">
        <f>Z197</f>
        <v>0</v>
      </c>
      <c r="AB197" s="212">
        <f t="shared" si="43"/>
        <v>0</v>
      </c>
      <c r="AC197" s="213">
        <f t="shared" si="44"/>
        <v>0</v>
      </c>
      <c r="AD197" s="212"/>
      <c r="AE197" s="212"/>
      <c r="AF197" s="212">
        <f t="shared" si="45"/>
        <v>0</v>
      </c>
      <c r="AG197" s="212">
        <f>AF197</f>
        <v>0</v>
      </c>
      <c r="AH197" s="212">
        <f t="shared" si="46"/>
        <v>0</v>
      </c>
      <c r="AI197" s="212" t="str">
        <f t="shared" si="47"/>
        <v>MAUVE</v>
      </c>
      <c r="AJ197" s="212">
        <f t="shared" si="48"/>
        <v>0</v>
      </c>
      <c r="AK197" s="212">
        <f t="shared" si="49"/>
        <v>0</v>
      </c>
      <c r="AL197" s="212"/>
      <c r="AM197" s="212"/>
      <c r="AN197" s="212"/>
      <c r="AO197" s="212"/>
      <c r="AP197" s="212"/>
      <c r="AQ197" s="212"/>
    </row>
    <row r="198" spans="1:43" s="208" customFormat="1" ht="12.75">
      <c r="A198" s="213" t="str">
        <f t="shared" si="24"/>
        <v>TOTAL</v>
      </c>
      <c r="B198" s="213"/>
      <c r="C198" s="213">
        <f>SUM(C191:C197)</f>
        <v>500</v>
      </c>
      <c r="D198" s="213">
        <f>SUM(D191:D197)</f>
        <v>11600</v>
      </c>
      <c r="E198" s="213"/>
      <c r="F198" s="221">
        <f>SUM(F191:F197)</f>
        <v>458</v>
      </c>
      <c r="G198" s="213">
        <f>SUM(G191:G197)</f>
        <v>10440</v>
      </c>
      <c r="H198" s="213"/>
      <c r="I198" s="213"/>
      <c r="J198" s="213">
        <f>SUM(J191:J197)</f>
        <v>59</v>
      </c>
      <c r="K198" s="213">
        <f>AK198</f>
        <v>610</v>
      </c>
      <c r="L198" s="213"/>
      <c r="M198" s="213"/>
      <c r="N198" s="213"/>
      <c r="O198" s="213"/>
      <c r="P198" s="213"/>
      <c r="Q198" s="213"/>
      <c r="R198" s="212"/>
      <c r="S198" s="212"/>
      <c r="T198" s="212"/>
      <c r="U198" s="212"/>
      <c r="V198" s="212">
        <f>SUM(V191:V197)</f>
        <v>0</v>
      </c>
      <c r="W198" s="213"/>
      <c r="X198" s="212"/>
      <c r="Y198" s="212"/>
      <c r="Z198" s="212"/>
      <c r="AA198" s="212"/>
      <c r="AB198" s="212">
        <f>SUM(AB191:AB197)</f>
        <v>0</v>
      </c>
      <c r="AC198" s="213"/>
      <c r="AD198" s="212"/>
      <c r="AE198" s="212"/>
      <c r="AF198" s="212"/>
      <c r="AG198" s="212"/>
      <c r="AH198" s="212">
        <f>SUM(AH191:AH197)</f>
        <v>0</v>
      </c>
      <c r="AI198" s="212"/>
      <c r="AJ198" s="212">
        <f>SUM(AJ191:AJ197)</f>
        <v>59</v>
      </c>
      <c r="AK198" s="212">
        <f>SUM(AK191:AK197)</f>
        <v>610</v>
      </c>
      <c r="AL198" s="212"/>
      <c r="AM198" s="212"/>
      <c r="AN198" s="212"/>
      <c r="AO198" s="212"/>
      <c r="AP198" s="212"/>
      <c r="AQ198" s="212"/>
    </row>
    <row r="199" spans="1:43" s="208" customFormat="1" ht="12.75">
      <c r="A199" s="213"/>
      <c r="B199" s="213"/>
      <c r="C199" s="213"/>
      <c r="D199" s="213"/>
      <c r="E199" s="213"/>
      <c r="F199" s="213"/>
      <c r="G199" s="213"/>
      <c r="H199" s="213"/>
      <c r="I199" s="213"/>
      <c r="J199" s="213"/>
      <c r="K199" s="213">
        <f>SUM(K191:K197)</f>
        <v>610</v>
      </c>
      <c r="L199" s="213"/>
      <c r="M199" s="213"/>
      <c r="N199" s="213"/>
      <c r="O199" s="213"/>
      <c r="P199" s="213"/>
      <c r="Q199" s="213"/>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row>
    <row r="200" spans="1:43" s="208" customFormat="1" ht="12.75">
      <c r="A200" s="213" t="s">
        <v>33</v>
      </c>
      <c r="B200" s="213"/>
      <c r="C200" s="213"/>
      <c r="D200" s="213">
        <f>COUNTIF(C191:C197,"&gt;=1")</f>
        <v>6</v>
      </c>
      <c r="E200" s="213"/>
      <c r="F200" s="213"/>
      <c r="G200" s="222" t="s">
        <v>21</v>
      </c>
      <c r="H200" s="222"/>
      <c r="I200" s="213"/>
      <c r="J200" s="213" t="str">
        <f>"Couleurs utilisées après "&amp;A191&amp;":"</f>
        <v>Couleurs utilisées après BLANC:</v>
      </c>
      <c r="K200" s="213"/>
      <c r="L200" s="213">
        <f>COUNTIF(C192:C197,"&gt;=1")</f>
        <v>5</v>
      </c>
      <c r="M200" s="213"/>
      <c r="N200" s="213"/>
      <c r="O200" s="213"/>
      <c r="P200" s="213"/>
      <c r="Q200" s="213"/>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row>
    <row r="201" spans="1:43" s="208" customFormat="1" ht="12.75">
      <c r="A201" s="213"/>
      <c r="B201" s="213"/>
      <c r="C201" s="213"/>
      <c r="D201" s="213"/>
      <c r="E201" s="213"/>
      <c r="F201" s="213"/>
      <c r="G201" s="222" t="s">
        <v>22</v>
      </c>
      <c r="H201" s="222"/>
      <c r="I201" s="213"/>
      <c r="J201" s="213" t="str">
        <f aca="true" t="shared" si="50" ref="J201:J206">"Couleurs utilisées après "&amp;A192&amp;":"</f>
        <v>Couleurs utilisées après ROUGE:</v>
      </c>
      <c r="K201" s="213"/>
      <c r="L201" s="213">
        <f>COUNTIF(C193:$C$197,"&gt;=1")</f>
        <v>4</v>
      </c>
      <c r="M201" s="213"/>
      <c r="N201" s="213"/>
      <c r="O201" s="213"/>
      <c r="P201" s="213"/>
      <c r="Q201" s="213"/>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row>
    <row r="202" spans="1:43" s="208" customFormat="1" ht="12.75">
      <c r="A202" s="220" t="str">
        <f>"Boite de : "&amp;C198&amp;" Jetons - Valeur fictive Totale de "&amp;D198&amp;" $"</f>
        <v>Boite de : 500 Jetons - Valeur fictive Totale de 11600 $</v>
      </c>
      <c r="B202" s="213"/>
      <c r="C202" s="213"/>
      <c r="D202" s="213"/>
      <c r="E202" s="213"/>
      <c r="F202" s="213"/>
      <c r="G202" s="222" t="str">
        <f>AJ191&amp;" "&amp;A191</f>
        <v>15 BLANC</v>
      </c>
      <c r="H202" s="222"/>
      <c r="I202" s="213"/>
      <c r="J202" s="213" t="str">
        <f t="shared" si="50"/>
        <v>Couleurs utilisées après BLEU:</v>
      </c>
      <c r="K202" s="213"/>
      <c r="L202" s="213">
        <f>COUNTIF(C194:$C$197,"&gt;=1")</f>
        <v>3</v>
      </c>
      <c r="M202" s="213"/>
      <c r="N202" s="213"/>
      <c r="O202" s="213"/>
      <c r="P202" s="213"/>
      <c r="Q202" s="213"/>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row>
    <row r="203" spans="1:43" s="208" customFormat="1" ht="12.75">
      <c r="A203" s="213"/>
      <c r="B203" s="213"/>
      <c r="C203" s="213"/>
      <c r="D203" s="213"/>
      <c r="E203" s="213"/>
      <c r="F203" s="213"/>
      <c r="G203" s="222" t="str">
        <f aca="true" t="shared" si="51" ref="G203:G209">AJ192&amp;" "&amp;A192</f>
        <v>14 ROUGE</v>
      </c>
      <c r="H203" s="222"/>
      <c r="I203" s="213"/>
      <c r="J203" s="213" t="str">
        <f t="shared" si="50"/>
        <v>Couleurs utilisées après VERT:</v>
      </c>
      <c r="K203" s="213"/>
      <c r="L203" s="213">
        <f>COUNTIF(C195:$C$197,"&gt;=1")</f>
        <v>2</v>
      </c>
      <c r="M203" s="213"/>
      <c r="N203" s="213"/>
      <c r="O203" s="213"/>
      <c r="P203" s="213"/>
      <c r="Q203" s="213"/>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row>
    <row r="204" spans="1:43" s="208" customFormat="1" ht="12.75">
      <c r="A204" s="223" t="s">
        <v>10</v>
      </c>
      <c r="B204" s="223"/>
      <c r="C204" s="223"/>
      <c r="D204" s="220">
        <f>C27</f>
        <v>6</v>
      </c>
      <c r="E204" s="213"/>
      <c r="F204" s="213"/>
      <c r="G204" s="222" t="str">
        <f t="shared" si="51"/>
        <v>15 BLEU</v>
      </c>
      <c r="H204" s="222"/>
      <c r="I204" s="213"/>
      <c r="J204" s="213" t="str">
        <f t="shared" si="50"/>
        <v>Couleurs utilisées après JAUNE:</v>
      </c>
      <c r="K204" s="213"/>
      <c r="L204" s="213">
        <f>COUNTIF(C196:$C$197,"&gt;=1")</f>
        <v>1</v>
      </c>
      <c r="M204" s="213"/>
      <c r="N204" s="213"/>
      <c r="O204" s="213"/>
      <c r="P204" s="213"/>
      <c r="Q204" s="213"/>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row>
    <row r="205" spans="1:43" s="208" customFormat="1" ht="12.75">
      <c r="A205" s="213"/>
      <c r="B205" s="213"/>
      <c r="C205" s="213"/>
      <c r="D205" s="213"/>
      <c r="E205" s="213"/>
      <c r="F205" s="213"/>
      <c r="G205" s="222" t="str">
        <f t="shared" si="51"/>
        <v>15 VERT</v>
      </c>
      <c r="H205" s="222"/>
      <c r="I205" s="213"/>
      <c r="J205" s="213" t="str">
        <f t="shared" si="50"/>
        <v>Couleurs utilisées après NOIR:</v>
      </c>
      <c r="K205" s="213"/>
      <c r="L205" s="213">
        <f>COUNTIF(C197:$C$197,"&gt;=1")</f>
        <v>0</v>
      </c>
      <c r="M205" s="213"/>
      <c r="N205" s="213"/>
      <c r="O205" s="213"/>
      <c r="P205" s="213"/>
      <c r="Q205" s="213"/>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row>
    <row r="206" spans="1:43" s="208" customFormat="1" ht="12.75">
      <c r="A206" s="224" t="s">
        <v>11</v>
      </c>
      <c r="B206" s="224"/>
      <c r="C206" s="224"/>
      <c r="D206" s="213">
        <f>FLOOR(ROUNDDOWN(D198/(D204*D217),0),10)</f>
        <v>640</v>
      </c>
      <c r="E206" s="213"/>
      <c r="F206" s="213"/>
      <c r="G206" s="222" t="str">
        <f t="shared" si="51"/>
        <v>0 JAUNE</v>
      </c>
      <c r="H206" s="222"/>
      <c r="I206" s="213"/>
      <c r="J206" s="213" t="str">
        <f t="shared" si="50"/>
        <v>Couleurs utilisées après MAUVE:</v>
      </c>
      <c r="K206" s="213"/>
      <c r="L206" s="213">
        <v>0</v>
      </c>
      <c r="M206" s="213"/>
      <c r="N206" s="213"/>
      <c r="O206" s="213"/>
      <c r="P206" s="213"/>
      <c r="Q206" s="213"/>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row>
    <row r="207" spans="1:43" s="208" customFormat="1" ht="12.75">
      <c r="A207" s="225" t="str">
        <f>"Total à distribuer pour "&amp;D204&amp;" joueurs :"</f>
        <v>Total à distribuer pour 6 joueurs :</v>
      </c>
      <c r="B207" s="225"/>
      <c r="C207" s="225"/>
      <c r="D207" s="213">
        <f>D206*D204</f>
        <v>3840</v>
      </c>
      <c r="E207" s="213"/>
      <c r="F207" s="213"/>
      <c r="G207" s="222" t="str">
        <f t="shared" si="51"/>
        <v>0 NOIR</v>
      </c>
      <c r="H207" s="222"/>
      <c r="I207" s="213"/>
      <c r="J207" s="213"/>
      <c r="K207" s="213"/>
      <c r="L207" s="213"/>
      <c r="M207" s="213"/>
      <c r="N207" s="213"/>
      <c r="O207" s="213"/>
      <c r="P207" s="213"/>
      <c r="Q207" s="213"/>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row>
    <row r="208" spans="1:43" s="208" customFormat="1" ht="12.75">
      <c r="A208" s="213"/>
      <c r="B208" s="213"/>
      <c r="C208" s="213"/>
      <c r="D208" s="213"/>
      <c r="E208" s="213"/>
      <c r="F208" s="213"/>
      <c r="G208" s="222" t="str">
        <f t="shared" si="51"/>
        <v>0 MAUVE</v>
      </c>
      <c r="H208" s="222"/>
      <c r="I208" s="213"/>
      <c r="J208" s="213" t="s">
        <v>37</v>
      </c>
      <c r="K208" s="213"/>
      <c r="L208" s="213">
        <f>IF(D200=7,4,IF(D200=6,4,IF(D200=5,3,IF(D200=4,3,IF(D200=3,2,IF(D200=2,1,0))))))</f>
        <v>4</v>
      </c>
      <c r="M208" s="213"/>
      <c r="N208" s="213"/>
      <c r="O208" s="213"/>
      <c r="P208" s="213"/>
      <c r="Q208" s="213"/>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row>
    <row r="209" spans="1:43" s="208" customFormat="1" ht="15.75">
      <c r="A209" s="226" t="s">
        <v>20</v>
      </c>
      <c r="B209" s="226"/>
      <c r="C209" s="226"/>
      <c r="D209" s="226">
        <f>AK198</f>
        <v>610</v>
      </c>
      <c r="E209" s="213"/>
      <c r="F209" s="213"/>
      <c r="G209" s="222" t="str">
        <f t="shared" si="51"/>
        <v>59 TOTAL</v>
      </c>
      <c r="H209" s="222"/>
      <c r="I209" s="213"/>
      <c r="J209" s="213" t="s">
        <v>38</v>
      </c>
      <c r="K209" s="213"/>
      <c r="L209" s="213">
        <f>D200-L208</f>
        <v>2</v>
      </c>
      <c r="M209" s="213"/>
      <c r="N209" s="213"/>
      <c r="O209" s="213"/>
      <c r="P209" s="213"/>
      <c r="Q209" s="213"/>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row>
    <row r="210" spans="1:43" s="208" customFormat="1" ht="12.75">
      <c r="A210" s="213"/>
      <c r="B210" s="213"/>
      <c r="C210" s="213"/>
      <c r="D210" s="213"/>
      <c r="E210" s="213"/>
      <c r="F210" s="213"/>
      <c r="G210" s="213"/>
      <c r="H210" s="213"/>
      <c r="I210" s="213"/>
      <c r="J210" s="213"/>
      <c r="K210" s="213"/>
      <c r="L210" s="213"/>
      <c r="M210" s="213"/>
      <c r="N210" s="213"/>
      <c r="O210" s="213"/>
      <c r="P210" s="213"/>
      <c r="Q210" s="213"/>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row>
    <row r="211" spans="1:43" s="208" customFormat="1" ht="12.75">
      <c r="A211" s="213"/>
      <c r="B211" s="213"/>
      <c r="C211" s="213"/>
      <c r="D211" s="213"/>
      <c r="E211" s="213"/>
      <c r="F211" s="213"/>
      <c r="G211" s="213"/>
      <c r="H211" s="213"/>
      <c r="I211" s="213"/>
      <c r="J211" s="213" t="s">
        <v>41</v>
      </c>
      <c r="K211" s="213"/>
      <c r="L211" s="213">
        <f>IF(D200=7,5,IF(D200=6,5,IF(D200=5,4,IF(D200=4,3,IF(D200=3,2,IF(D200=2,2,1))))))</f>
        <v>5</v>
      </c>
      <c r="M211" s="213"/>
      <c r="N211" s="213"/>
      <c r="O211" s="213"/>
      <c r="P211" s="213"/>
      <c r="Q211" s="213"/>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row>
    <row r="212" spans="1:43" s="208" customFormat="1" ht="12.75">
      <c r="A212" s="213"/>
      <c r="B212" s="213"/>
      <c r="C212" s="213"/>
      <c r="D212" s="213"/>
      <c r="E212" s="213"/>
      <c r="F212" s="213"/>
      <c r="G212" s="213"/>
      <c r="H212" s="213"/>
      <c r="I212" s="213"/>
      <c r="J212" s="213" t="s">
        <v>40</v>
      </c>
      <c r="K212" s="213"/>
      <c r="L212" s="213">
        <f>D200-L211</f>
        <v>1</v>
      </c>
      <c r="M212" s="213"/>
      <c r="N212" s="213"/>
      <c r="O212" s="213"/>
      <c r="P212" s="213"/>
      <c r="Q212" s="213"/>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row>
    <row r="213" spans="1:43" s="208" customFormat="1" ht="12.75">
      <c r="A213" s="213"/>
      <c r="B213" s="213"/>
      <c r="C213" s="213"/>
      <c r="D213" s="213"/>
      <c r="E213" s="213"/>
      <c r="F213" s="213"/>
      <c r="G213" s="213"/>
      <c r="H213" s="213"/>
      <c r="I213" s="213"/>
      <c r="J213" s="213"/>
      <c r="K213" s="213"/>
      <c r="L213" s="213"/>
      <c r="M213" s="213"/>
      <c r="N213" s="213"/>
      <c r="O213" s="213"/>
      <c r="P213" s="213"/>
      <c r="Q213" s="213"/>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row>
    <row r="214" spans="1:43" s="208" customFormat="1" ht="12.75">
      <c r="A214" s="224" t="s">
        <v>71</v>
      </c>
      <c r="B214" s="224"/>
      <c r="C214" s="227" t="b">
        <v>1</v>
      </c>
      <c r="D214" s="213">
        <f>IF(C214=TRUE,1,0)</f>
        <v>1</v>
      </c>
      <c r="E214" s="213"/>
      <c r="F214" s="213"/>
      <c r="G214" s="213"/>
      <c r="H214" s="213"/>
      <c r="I214" s="213"/>
      <c r="J214" s="213" t="s">
        <v>76</v>
      </c>
      <c r="K214" s="213"/>
      <c r="L214" s="213">
        <f>IF(D200=7,4,IF(D200=6,3,IF(D200=5,3,IF(D200=4,2,IF(D200=3,2,IF(D200=2,2,1))))))</f>
        <v>3</v>
      </c>
      <c r="M214" s="213"/>
      <c r="N214" s="213"/>
      <c r="O214" s="213"/>
      <c r="P214" s="213"/>
      <c r="Q214" s="213"/>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row>
    <row r="215" spans="1:43" s="208" customFormat="1" ht="12.75">
      <c r="A215" s="224" t="s">
        <v>72</v>
      </c>
      <c r="B215" s="224"/>
      <c r="C215" s="227" t="b">
        <v>1</v>
      </c>
      <c r="D215" s="213">
        <f>IF(C215=TRUE,1,0)</f>
        <v>1</v>
      </c>
      <c r="E215" s="213"/>
      <c r="F215" s="213"/>
      <c r="G215" s="213"/>
      <c r="H215" s="213"/>
      <c r="I215" s="213"/>
      <c r="J215" s="213" t="s">
        <v>75</v>
      </c>
      <c r="K215" s="213"/>
      <c r="L215" s="213">
        <f>D200-L214</f>
        <v>3</v>
      </c>
      <c r="M215" s="213"/>
      <c r="N215" s="213"/>
      <c r="O215" s="213"/>
      <c r="P215" s="213"/>
      <c r="Q215" s="213"/>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row>
    <row r="216" spans="1:43" s="208" customFormat="1" ht="12.75">
      <c r="A216" s="224" t="s">
        <v>135</v>
      </c>
      <c r="B216" s="224"/>
      <c r="C216" s="227" t="b">
        <v>1</v>
      </c>
      <c r="D216" s="213">
        <f>IF(C216=TRUE,1,0)</f>
        <v>1</v>
      </c>
      <c r="E216" s="213"/>
      <c r="F216" s="213"/>
      <c r="G216" s="213"/>
      <c r="H216" s="213"/>
      <c r="I216" s="213"/>
      <c r="J216" s="213"/>
      <c r="K216" s="213"/>
      <c r="L216" s="213"/>
      <c r="M216" s="213"/>
      <c r="N216" s="213"/>
      <c r="O216" s="213"/>
      <c r="P216" s="213"/>
      <c r="Q216" s="213"/>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row>
    <row r="217" spans="1:43" s="208" customFormat="1" ht="12.75">
      <c r="A217" s="225" t="s">
        <v>73</v>
      </c>
      <c r="B217" s="225"/>
      <c r="C217" s="225"/>
      <c r="D217" s="213">
        <f>1+D214+D215</f>
        <v>3</v>
      </c>
      <c r="E217" s="213"/>
      <c r="F217" s="213"/>
      <c r="G217" s="213"/>
      <c r="H217" s="213"/>
      <c r="I217" s="213"/>
      <c r="J217" s="213"/>
      <c r="K217" s="213"/>
      <c r="L217" s="213"/>
      <c r="M217" s="213"/>
      <c r="N217" s="213"/>
      <c r="O217" s="213"/>
      <c r="P217" s="213"/>
      <c r="Q217" s="213"/>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row>
    <row r="218" spans="1:43" s="208" customFormat="1" ht="12.75">
      <c r="A218" s="213" t="s">
        <v>106</v>
      </c>
      <c r="B218" s="213"/>
      <c r="C218" s="213"/>
      <c r="D218" s="213">
        <f>D217-1</f>
        <v>2</v>
      </c>
      <c r="E218" s="213"/>
      <c r="F218" s="213"/>
      <c r="G218" s="213"/>
      <c r="H218" s="213"/>
      <c r="I218" s="213"/>
      <c r="J218" s="213"/>
      <c r="K218" s="213"/>
      <c r="L218" s="213"/>
      <c r="M218" s="213"/>
      <c r="N218" s="213"/>
      <c r="O218" s="213"/>
      <c r="P218" s="213"/>
      <c r="Q218" s="213"/>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c r="AP218" s="212"/>
      <c r="AQ218" s="212"/>
    </row>
    <row r="219" spans="1:43" s="208" customFormat="1" ht="12.75">
      <c r="A219" s="213"/>
      <c r="B219" s="213"/>
      <c r="C219" s="213"/>
      <c r="D219" s="213"/>
      <c r="E219" s="213"/>
      <c r="F219" s="213"/>
      <c r="G219" s="213"/>
      <c r="H219" s="213"/>
      <c r="I219" s="213"/>
      <c r="J219" s="213"/>
      <c r="K219" s="213"/>
      <c r="L219" s="213"/>
      <c r="M219" s="213"/>
      <c r="N219" s="213"/>
      <c r="O219" s="213"/>
      <c r="P219" s="213"/>
      <c r="Q219" s="213"/>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c r="AN219" s="212"/>
      <c r="AO219" s="212"/>
      <c r="AP219" s="212"/>
      <c r="AQ219" s="212"/>
    </row>
    <row r="220" spans="1:43" s="208" customFormat="1" ht="12.75">
      <c r="A220" s="213"/>
      <c r="B220" s="213"/>
      <c r="C220" s="213"/>
      <c r="D220" s="213"/>
      <c r="E220" s="213"/>
      <c r="F220" s="213"/>
      <c r="G220" s="213"/>
      <c r="H220" s="213"/>
      <c r="I220" s="213"/>
      <c r="J220" s="213"/>
      <c r="K220" s="213"/>
      <c r="L220" s="213"/>
      <c r="M220" s="213"/>
      <c r="N220" s="213"/>
      <c r="O220" s="213"/>
      <c r="P220" s="213"/>
      <c r="Q220" s="213"/>
      <c r="R220" s="212"/>
      <c r="S220" s="212"/>
      <c r="T220" s="212"/>
      <c r="U220" s="212"/>
      <c r="V220" s="212"/>
      <c r="W220" s="212"/>
      <c r="X220" s="212"/>
      <c r="Y220" s="212"/>
      <c r="Z220" s="212"/>
      <c r="AA220" s="212"/>
      <c r="AB220" s="212"/>
      <c r="AC220" s="212"/>
      <c r="AD220" s="212"/>
      <c r="AE220" s="212"/>
      <c r="AF220" s="212"/>
      <c r="AG220" s="212"/>
      <c r="AH220" s="212"/>
      <c r="AI220" s="212"/>
      <c r="AJ220" s="212"/>
      <c r="AK220" s="212"/>
      <c r="AL220" s="212"/>
      <c r="AM220" s="212"/>
      <c r="AN220" s="212"/>
      <c r="AO220" s="212"/>
      <c r="AP220" s="212"/>
      <c r="AQ220" s="212"/>
    </row>
    <row r="221" spans="1:43" s="208" customFormat="1" ht="12.75">
      <c r="A221" s="220" t="s">
        <v>194</v>
      </c>
      <c r="B221" s="220"/>
      <c r="C221" s="220">
        <f>FLOOR(K199,10)</f>
        <v>610</v>
      </c>
      <c r="D221" s="213"/>
      <c r="E221" s="213"/>
      <c r="F221" s="213"/>
      <c r="G221" s="213"/>
      <c r="H221" s="213"/>
      <c r="I221" s="213"/>
      <c r="J221" s="213"/>
      <c r="K221" s="213"/>
      <c r="L221" s="213"/>
      <c r="M221" s="213"/>
      <c r="N221" s="213"/>
      <c r="O221" s="213"/>
      <c r="P221" s="213"/>
      <c r="Q221" s="213"/>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row>
    <row r="222" spans="1:43" s="208" customFormat="1" ht="12.75">
      <c r="A222" s="220" t="s">
        <v>193</v>
      </c>
      <c r="B222" s="220"/>
      <c r="C222" s="220">
        <f>K198-C221</f>
        <v>0</v>
      </c>
      <c r="D222" s="213"/>
      <c r="E222" s="213"/>
      <c r="F222" s="213"/>
      <c r="G222" s="213"/>
      <c r="H222" s="213"/>
      <c r="I222" s="213"/>
      <c r="J222" s="213"/>
      <c r="K222" s="213"/>
      <c r="L222" s="213"/>
      <c r="M222" s="213"/>
      <c r="N222" s="213"/>
      <c r="O222" s="213"/>
      <c r="P222" s="213"/>
      <c r="Q222" s="213"/>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c r="AP222" s="212"/>
      <c r="AQ222" s="212"/>
    </row>
    <row r="223" spans="1:43" s="208" customFormat="1" ht="12.75">
      <c r="A223" s="213"/>
      <c r="B223" s="213"/>
      <c r="C223" s="213"/>
      <c r="D223" s="213"/>
      <c r="E223" s="213"/>
      <c r="F223" s="213"/>
      <c r="G223" s="213"/>
      <c r="H223" s="213"/>
      <c r="I223" s="213"/>
      <c r="J223" s="213"/>
      <c r="K223" s="213"/>
      <c r="L223" s="213"/>
      <c r="M223" s="213"/>
      <c r="N223" s="213"/>
      <c r="O223" s="213"/>
      <c r="P223" s="213"/>
      <c r="Q223" s="213"/>
      <c r="R223" s="212"/>
      <c r="S223" s="212"/>
      <c r="T223" s="212"/>
      <c r="U223" s="212"/>
      <c r="V223" s="212"/>
      <c r="W223" s="212"/>
      <c r="X223" s="212"/>
      <c r="Y223" s="212"/>
      <c r="Z223" s="212"/>
      <c r="AA223" s="212"/>
      <c r="AB223" s="212"/>
      <c r="AC223" s="212"/>
      <c r="AD223" s="212"/>
      <c r="AE223" s="212"/>
      <c r="AF223" s="212"/>
      <c r="AG223" s="212"/>
      <c r="AH223" s="212"/>
      <c r="AI223" s="212"/>
      <c r="AJ223" s="212"/>
      <c r="AK223" s="212"/>
      <c r="AL223" s="212"/>
      <c r="AM223" s="212"/>
      <c r="AN223" s="212"/>
      <c r="AO223" s="212"/>
      <c r="AP223" s="212"/>
      <c r="AQ223" s="212"/>
    </row>
    <row r="224" spans="1:43" s="208" customFormat="1" ht="12.75">
      <c r="A224" s="213"/>
      <c r="B224" s="213"/>
      <c r="C224" s="213"/>
      <c r="D224" s="213"/>
      <c r="E224" s="213"/>
      <c r="F224" s="213"/>
      <c r="G224" s="213"/>
      <c r="H224" s="213"/>
      <c r="I224" s="213"/>
      <c r="J224" s="213"/>
      <c r="K224" s="213"/>
      <c r="L224" s="213"/>
      <c r="M224" s="213"/>
      <c r="N224" s="213"/>
      <c r="O224" s="213"/>
      <c r="P224" s="213"/>
      <c r="Q224" s="213"/>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c r="AN224" s="212"/>
      <c r="AO224" s="212"/>
      <c r="AP224" s="212"/>
      <c r="AQ224" s="212"/>
    </row>
    <row r="225" spans="1:43" s="208" customFormat="1" ht="12.75">
      <c r="A225" s="213"/>
      <c r="B225" s="213"/>
      <c r="C225" s="213"/>
      <c r="D225" s="213"/>
      <c r="E225" s="213"/>
      <c r="F225" s="213"/>
      <c r="G225" s="213"/>
      <c r="H225" s="213"/>
      <c r="I225" s="213"/>
      <c r="J225" s="213"/>
      <c r="K225" s="213"/>
      <c r="L225" s="213"/>
      <c r="M225" s="213"/>
      <c r="N225" s="213"/>
      <c r="O225" s="213"/>
      <c r="P225" s="213"/>
      <c r="Q225" s="213"/>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212"/>
      <c r="AO225" s="212"/>
      <c r="AP225" s="212"/>
      <c r="AQ225" s="212"/>
    </row>
    <row r="226" spans="1:43" s="208" customFormat="1" ht="12.75">
      <c r="A226" s="213"/>
      <c r="B226" s="213"/>
      <c r="C226" s="213"/>
      <c r="D226" s="213"/>
      <c r="E226" s="213"/>
      <c r="F226" s="213"/>
      <c r="G226" s="213"/>
      <c r="H226" s="213"/>
      <c r="I226" s="213"/>
      <c r="J226" s="213"/>
      <c r="K226" s="213"/>
      <c r="L226" s="213"/>
      <c r="M226" s="213"/>
      <c r="N226" s="213"/>
      <c r="O226" s="213"/>
      <c r="P226" s="213"/>
      <c r="Q226" s="213"/>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c r="AP226" s="212"/>
      <c r="AQ226" s="212"/>
    </row>
    <row r="227" spans="1:43" s="208" customFormat="1" ht="12.75">
      <c r="A227" s="213"/>
      <c r="B227" s="213"/>
      <c r="C227" s="213"/>
      <c r="D227" s="213"/>
      <c r="E227" s="213"/>
      <c r="F227" s="213"/>
      <c r="G227" s="213"/>
      <c r="H227" s="213"/>
      <c r="I227" s="213"/>
      <c r="J227" s="213"/>
      <c r="K227" s="213"/>
      <c r="L227" s="213"/>
      <c r="M227" s="213"/>
      <c r="N227" s="213"/>
      <c r="O227" s="213"/>
      <c r="P227" s="213"/>
      <c r="Q227" s="213"/>
      <c r="R227" s="212"/>
      <c r="S227" s="212"/>
      <c r="T227" s="212"/>
      <c r="U227" s="212"/>
      <c r="V227" s="212"/>
      <c r="W227" s="212"/>
      <c r="X227" s="212"/>
      <c r="Y227" s="212"/>
      <c r="Z227" s="212"/>
      <c r="AA227" s="212"/>
      <c r="AB227" s="212"/>
      <c r="AC227" s="212"/>
      <c r="AD227" s="212"/>
      <c r="AE227" s="212"/>
      <c r="AF227" s="212"/>
      <c r="AG227" s="212"/>
      <c r="AH227" s="212"/>
      <c r="AI227" s="212"/>
      <c r="AJ227" s="212"/>
      <c r="AK227" s="212"/>
      <c r="AL227" s="212"/>
      <c r="AM227" s="212"/>
      <c r="AN227" s="212"/>
      <c r="AO227" s="212"/>
      <c r="AP227" s="212"/>
      <c r="AQ227" s="212"/>
    </row>
    <row r="228" spans="1:43" s="208" customFormat="1" ht="12.75">
      <c r="A228" s="213"/>
      <c r="B228" s="213"/>
      <c r="C228" s="213"/>
      <c r="D228" s="213"/>
      <c r="E228" s="213"/>
      <c r="F228" s="213"/>
      <c r="G228" s="213"/>
      <c r="H228" s="213"/>
      <c r="I228" s="213"/>
      <c r="J228" s="213"/>
      <c r="K228" s="213"/>
      <c r="L228" s="213"/>
      <c r="M228" s="213"/>
      <c r="N228" s="213"/>
      <c r="O228" s="213"/>
      <c r="P228" s="213"/>
      <c r="Q228" s="213"/>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c r="AN228" s="212"/>
      <c r="AO228" s="212"/>
      <c r="AP228" s="212"/>
      <c r="AQ228" s="212"/>
    </row>
    <row r="229" spans="1:43" s="208" customFormat="1" ht="12.75">
      <c r="A229" s="213"/>
      <c r="B229" s="213"/>
      <c r="C229" s="213"/>
      <c r="D229" s="213"/>
      <c r="E229" s="213"/>
      <c r="F229" s="213"/>
      <c r="G229" s="213"/>
      <c r="H229" s="213"/>
      <c r="I229" s="213"/>
      <c r="J229" s="213"/>
      <c r="K229" s="213"/>
      <c r="L229" s="213"/>
      <c r="M229" s="213"/>
      <c r="N229" s="213"/>
      <c r="O229" s="213"/>
      <c r="P229" s="213"/>
      <c r="Q229" s="213"/>
      <c r="R229" s="212"/>
      <c r="S229" s="212"/>
      <c r="T229" s="212"/>
      <c r="U229" s="212"/>
      <c r="V229" s="212"/>
      <c r="W229" s="212"/>
      <c r="X229" s="212"/>
      <c r="Y229" s="212"/>
      <c r="Z229" s="212"/>
      <c r="AA229" s="212"/>
      <c r="AB229" s="212"/>
      <c r="AC229" s="212"/>
      <c r="AD229" s="212"/>
      <c r="AE229" s="212"/>
      <c r="AF229" s="212"/>
      <c r="AG229" s="212"/>
      <c r="AH229" s="212"/>
      <c r="AI229" s="212"/>
      <c r="AJ229" s="212"/>
      <c r="AK229" s="212"/>
      <c r="AL229" s="212"/>
      <c r="AM229" s="212"/>
      <c r="AN229" s="212"/>
      <c r="AO229" s="212"/>
      <c r="AP229" s="212"/>
      <c r="AQ229" s="212"/>
    </row>
    <row r="230" spans="1:43" s="208" customFormat="1" ht="12.75">
      <c r="A230" s="213"/>
      <c r="B230" s="213"/>
      <c r="C230" s="213"/>
      <c r="D230" s="213"/>
      <c r="E230" s="213"/>
      <c r="F230" s="213"/>
      <c r="G230" s="213"/>
      <c r="H230" s="213"/>
      <c r="I230" s="213"/>
      <c r="J230" s="213"/>
      <c r="K230" s="213"/>
      <c r="L230" s="213"/>
      <c r="M230" s="213"/>
      <c r="N230" s="213"/>
      <c r="O230" s="213"/>
      <c r="P230" s="213"/>
      <c r="Q230" s="213"/>
      <c r="R230" s="212"/>
      <c r="S230" s="212"/>
      <c r="T230" s="212"/>
      <c r="U230" s="212"/>
      <c r="V230" s="212"/>
      <c r="W230" s="212"/>
      <c r="X230" s="212"/>
      <c r="Y230" s="212"/>
      <c r="Z230" s="212"/>
      <c r="AA230" s="212"/>
      <c r="AB230" s="212"/>
      <c r="AC230" s="212"/>
      <c r="AD230" s="212"/>
      <c r="AE230" s="212"/>
      <c r="AF230" s="212"/>
      <c r="AG230" s="212"/>
      <c r="AH230" s="212"/>
      <c r="AI230" s="212"/>
      <c r="AJ230" s="212"/>
      <c r="AK230" s="212"/>
      <c r="AL230" s="212"/>
      <c r="AM230" s="212"/>
      <c r="AN230" s="212"/>
      <c r="AO230" s="212"/>
      <c r="AP230" s="212"/>
      <c r="AQ230" s="212"/>
    </row>
    <row r="231" spans="1:43" s="208" customFormat="1" ht="12.75">
      <c r="A231" s="213"/>
      <c r="B231" s="213"/>
      <c r="C231" s="213"/>
      <c r="D231" s="213"/>
      <c r="E231" s="213"/>
      <c r="F231" s="213"/>
      <c r="G231" s="213"/>
      <c r="H231" s="213"/>
      <c r="I231" s="213"/>
      <c r="J231" s="213"/>
      <c r="K231" s="213"/>
      <c r="L231" s="213"/>
      <c r="M231" s="213"/>
      <c r="N231" s="213"/>
      <c r="O231" s="213"/>
      <c r="P231" s="213"/>
      <c r="Q231" s="213"/>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row>
    <row r="232" spans="1:43" s="208" customFormat="1" ht="12.75">
      <c r="A232" s="213"/>
      <c r="B232" s="213"/>
      <c r="C232" s="213"/>
      <c r="D232" s="213"/>
      <c r="E232" s="213"/>
      <c r="F232" s="213"/>
      <c r="G232" s="213"/>
      <c r="H232" s="213"/>
      <c r="I232" s="213"/>
      <c r="J232" s="213"/>
      <c r="K232" s="213"/>
      <c r="L232" s="213"/>
      <c r="M232" s="213"/>
      <c r="N232" s="213"/>
      <c r="O232" s="213"/>
      <c r="P232" s="213"/>
      <c r="Q232" s="213"/>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row>
    <row r="233" spans="1:43" s="208" customFormat="1" ht="12.75">
      <c r="A233" s="213"/>
      <c r="B233" s="213"/>
      <c r="C233" s="213"/>
      <c r="D233" s="213"/>
      <c r="E233" s="213"/>
      <c r="F233" s="213"/>
      <c r="G233" s="213"/>
      <c r="H233" s="213"/>
      <c r="I233" s="213"/>
      <c r="J233" s="213"/>
      <c r="K233" s="213"/>
      <c r="L233" s="213"/>
      <c r="M233" s="213"/>
      <c r="N233" s="213"/>
      <c r="O233" s="213"/>
      <c r="P233" s="213"/>
      <c r="Q233" s="213"/>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c r="AN233" s="212"/>
      <c r="AO233" s="212"/>
      <c r="AP233" s="212"/>
      <c r="AQ233" s="212"/>
    </row>
    <row r="234" spans="1:43" s="208" customFormat="1" ht="12.75">
      <c r="A234" s="213"/>
      <c r="B234" s="213"/>
      <c r="C234" s="213"/>
      <c r="D234" s="213"/>
      <c r="E234" s="213"/>
      <c r="F234" s="213"/>
      <c r="G234" s="213"/>
      <c r="H234" s="213"/>
      <c r="I234" s="213"/>
      <c r="J234" s="213"/>
      <c r="K234" s="213"/>
      <c r="L234" s="213"/>
      <c r="M234" s="213"/>
      <c r="N234" s="213"/>
      <c r="O234" s="213"/>
      <c r="P234" s="213"/>
      <c r="Q234" s="213"/>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row>
    <row r="235" spans="1:43" s="208" customFormat="1" ht="12.75">
      <c r="A235" s="213"/>
      <c r="B235" s="213"/>
      <c r="C235" s="213"/>
      <c r="D235" s="213"/>
      <c r="E235" s="213"/>
      <c r="F235" s="213"/>
      <c r="G235" s="213"/>
      <c r="H235" s="213"/>
      <c r="I235" s="213"/>
      <c r="J235" s="213"/>
      <c r="K235" s="213"/>
      <c r="L235" s="213"/>
      <c r="M235" s="213"/>
      <c r="N235" s="213"/>
      <c r="O235" s="213"/>
      <c r="P235" s="213"/>
      <c r="Q235" s="213"/>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c r="AP235" s="212"/>
      <c r="AQ235" s="212"/>
    </row>
    <row r="236" spans="1:43" s="208" customFormat="1" ht="12.75">
      <c r="A236" s="213"/>
      <c r="B236" s="213"/>
      <c r="C236" s="213"/>
      <c r="D236" s="213"/>
      <c r="E236" s="213"/>
      <c r="F236" s="213"/>
      <c r="G236" s="213"/>
      <c r="H236" s="213"/>
      <c r="I236" s="213"/>
      <c r="J236" s="213"/>
      <c r="K236" s="213"/>
      <c r="L236" s="213"/>
      <c r="M236" s="213"/>
      <c r="N236" s="213"/>
      <c r="O236" s="213"/>
      <c r="P236" s="213"/>
      <c r="Q236" s="213"/>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row>
    <row r="237" spans="1:43" s="208" customFormat="1" ht="12.75">
      <c r="A237" s="213"/>
      <c r="B237" s="213"/>
      <c r="C237" s="213"/>
      <c r="D237" s="213"/>
      <c r="E237" s="213"/>
      <c r="F237" s="213"/>
      <c r="G237" s="213"/>
      <c r="H237" s="213"/>
      <c r="I237" s="213"/>
      <c r="J237" s="213"/>
      <c r="K237" s="213"/>
      <c r="L237" s="213"/>
      <c r="M237" s="213"/>
      <c r="N237" s="213"/>
      <c r="O237" s="213"/>
      <c r="P237" s="213"/>
      <c r="Q237" s="213"/>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2"/>
      <c r="AQ237" s="212"/>
    </row>
    <row r="238" spans="1:43" s="208" customFormat="1" ht="12.75">
      <c r="A238" s="213"/>
      <c r="B238" s="213"/>
      <c r="C238" s="213"/>
      <c r="D238" s="213"/>
      <c r="E238" s="213"/>
      <c r="F238" s="213"/>
      <c r="G238" s="213"/>
      <c r="H238" s="213"/>
      <c r="I238" s="213"/>
      <c r="J238" s="213"/>
      <c r="K238" s="213"/>
      <c r="L238" s="213"/>
      <c r="M238" s="213"/>
      <c r="N238" s="213"/>
      <c r="O238" s="213"/>
      <c r="P238" s="213"/>
      <c r="Q238" s="213"/>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row>
    <row r="239" spans="1:43" s="208" customFormat="1" ht="12.75">
      <c r="A239" s="213"/>
      <c r="B239" s="213"/>
      <c r="C239" s="213"/>
      <c r="D239" s="213"/>
      <c r="E239" s="213"/>
      <c r="F239" s="213"/>
      <c r="G239" s="213"/>
      <c r="H239" s="213"/>
      <c r="I239" s="213"/>
      <c r="J239" s="213"/>
      <c r="K239" s="213"/>
      <c r="L239" s="213"/>
      <c r="M239" s="213"/>
      <c r="N239" s="213"/>
      <c r="O239" s="213"/>
      <c r="P239" s="213"/>
      <c r="Q239" s="213"/>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2"/>
      <c r="AQ239" s="212"/>
    </row>
    <row r="240" spans="1:43" s="208" customFormat="1" ht="12.75">
      <c r="A240" s="213"/>
      <c r="B240" s="213"/>
      <c r="C240" s="213"/>
      <c r="D240" s="213"/>
      <c r="E240" s="213"/>
      <c r="F240" s="213"/>
      <c r="G240" s="213"/>
      <c r="H240" s="213"/>
      <c r="I240" s="213"/>
      <c r="J240" s="213"/>
      <c r="K240" s="213"/>
      <c r="L240" s="213"/>
      <c r="M240" s="213"/>
      <c r="N240" s="213"/>
      <c r="O240" s="213"/>
      <c r="P240" s="213"/>
      <c r="Q240" s="213"/>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c r="AQ240" s="212"/>
    </row>
    <row r="241" spans="1:43" s="208" customFormat="1" ht="12.75">
      <c r="A241" s="213"/>
      <c r="B241" s="213"/>
      <c r="C241" s="213"/>
      <c r="D241" s="213"/>
      <c r="E241" s="213"/>
      <c r="F241" s="213"/>
      <c r="G241" s="213"/>
      <c r="H241" s="213"/>
      <c r="I241" s="213"/>
      <c r="J241" s="213"/>
      <c r="K241" s="213"/>
      <c r="L241" s="213"/>
      <c r="M241" s="213"/>
      <c r="N241" s="213"/>
      <c r="O241" s="213"/>
      <c r="P241" s="213"/>
      <c r="Q241" s="213"/>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c r="AP241" s="212"/>
      <c r="AQ241" s="212"/>
    </row>
    <row r="242" spans="1:43" s="208" customFormat="1" ht="12.75">
      <c r="A242" s="213"/>
      <c r="B242" s="213"/>
      <c r="C242" s="213"/>
      <c r="D242" s="213"/>
      <c r="E242" s="213"/>
      <c r="F242" s="213"/>
      <c r="G242" s="213"/>
      <c r="H242" s="213"/>
      <c r="I242" s="213"/>
      <c r="J242" s="213"/>
      <c r="K242" s="213"/>
      <c r="L242" s="213"/>
      <c r="M242" s="213"/>
      <c r="N242" s="213"/>
      <c r="O242" s="213"/>
      <c r="P242" s="213"/>
      <c r="Q242" s="213"/>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2"/>
      <c r="AQ242" s="212"/>
    </row>
    <row r="243" spans="1:43" s="208" customFormat="1" ht="12.75">
      <c r="A243" s="213"/>
      <c r="B243" s="213"/>
      <c r="C243" s="213"/>
      <c r="D243" s="213"/>
      <c r="E243" s="213"/>
      <c r="F243" s="213"/>
      <c r="G243" s="213"/>
      <c r="H243" s="213"/>
      <c r="I243" s="213"/>
      <c r="J243" s="213"/>
      <c r="K243" s="213"/>
      <c r="L243" s="213"/>
      <c r="M243" s="213"/>
      <c r="N243" s="213"/>
      <c r="O243" s="213"/>
      <c r="P243" s="213"/>
      <c r="Q243" s="213"/>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2"/>
      <c r="AQ243" s="212"/>
    </row>
    <row r="244" spans="1:43" s="208" customFormat="1" ht="12.75">
      <c r="A244" s="213"/>
      <c r="B244" s="213"/>
      <c r="C244" s="213"/>
      <c r="D244" s="213"/>
      <c r="E244" s="213"/>
      <c r="F244" s="213"/>
      <c r="G244" s="213"/>
      <c r="H244" s="213"/>
      <c r="I244" s="213"/>
      <c r="J244" s="213"/>
      <c r="K244" s="213"/>
      <c r="L244" s="213"/>
      <c r="M244" s="213"/>
      <c r="N244" s="213"/>
      <c r="O244" s="213"/>
      <c r="P244" s="213"/>
      <c r="Q244" s="213"/>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c r="AP244" s="212"/>
      <c r="AQ244" s="212"/>
    </row>
    <row r="245" spans="1:43" s="208" customFormat="1" ht="12.75">
      <c r="A245" s="213"/>
      <c r="B245" s="213"/>
      <c r="C245" s="213"/>
      <c r="D245" s="213"/>
      <c r="E245" s="213"/>
      <c r="F245" s="213"/>
      <c r="G245" s="213"/>
      <c r="H245" s="213"/>
      <c r="I245" s="213"/>
      <c r="J245" s="213"/>
      <c r="K245" s="213"/>
      <c r="L245" s="213"/>
      <c r="M245" s="213"/>
      <c r="N245" s="213"/>
      <c r="O245" s="213"/>
      <c r="P245" s="213"/>
      <c r="Q245" s="213"/>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2"/>
      <c r="AQ245" s="212"/>
    </row>
    <row r="246" spans="1:43" s="208" customFormat="1" ht="12.75">
      <c r="A246" s="213"/>
      <c r="B246" s="213"/>
      <c r="C246" s="213"/>
      <c r="D246" s="213"/>
      <c r="E246" s="213"/>
      <c r="F246" s="213"/>
      <c r="G246" s="213"/>
      <c r="H246" s="213"/>
      <c r="I246" s="213"/>
      <c r="J246" s="213"/>
      <c r="K246" s="213"/>
      <c r="L246" s="213"/>
      <c r="M246" s="213"/>
      <c r="N246" s="213"/>
      <c r="O246" s="213"/>
      <c r="P246" s="213"/>
      <c r="Q246" s="213"/>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c r="AP246" s="212"/>
      <c r="AQ246" s="212"/>
    </row>
    <row r="247" spans="1:43" s="208" customFormat="1" ht="18">
      <c r="A247" s="228" t="s">
        <v>78</v>
      </c>
      <c r="B247" s="228"/>
      <c r="C247" s="228"/>
      <c r="D247" s="228"/>
      <c r="E247" s="228"/>
      <c r="F247" s="228"/>
      <c r="G247" s="228"/>
      <c r="H247" s="228"/>
      <c r="I247" s="213"/>
      <c r="J247" s="213"/>
      <c r="K247" s="213"/>
      <c r="L247" s="213"/>
      <c r="M247" s="213"/>
      <c r="N247" s="213"/>
      <c r="O247" s="213"/>
      <c r="P247" s="213"/>
      <c r="Q247" s="213"/>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c r="AP247" s="212"/>
      <c r="AQ247" s="212"/>
    </row>
    <row r="248" spans="1:43" s="208" customFormat="1" ht="12.75">
      <c r="A248" s="213"/>
      <c r="B248" s="213"/>
      <c r="C248" s="213"/>
      <c r="D248" s="213"/>
      <c r="E248" s="213"/>
      <c r="F248" s="213"/>
      <c r="G248" s="213"/>
      <c r="H248" s="213"/>
      <c r="I248" s="213"/>
      <c r="J248" s="213"/>
      <c r="K248" s="213"/>
      <c r="L248" s="213"/>
      <c r="M248" s="213"/>
      <c r="N248" s="213"/>
      <c r="O248" s="213"/>
      <c r="P248" s="213"/>
      <c r="Q248" s="213"/>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row>
    <row r="249" spans="1:43" s="208" customFormat="1" ht="12.75">
      <c r="A249" s="213"/>
      <c r="B249" s="213"/>
      <c r="C249" s="213"/>
      <c r="D249" s="213"/>
      <c r="E249" s="213"/>
      <c r="F249" s="213"/>
      <c r="G249" s="213"/>
      <c r="H249" s="213"/>
      <c r="I249" s="213"/>
      <c r="J249" s="213"/>
      <c r="K249" s="213"/>
      <c r="L249" s="213"/>
      <c r="M249" s="213"/>
      <c r="N249" s="213"/>
      <c r="O249" s="213"/>
      <c r="P249" s="213"/>
      <c r="Q249" s="213"/>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row>
    <row r="250" spans="1:43" s="208" customFormat="1" ht="15.75">
      <c r="A250" s="226" t="s">
        <v>20</v>
      </c>
      <c r="B250" s="226"/>
      <c r="C250" s="226"/>
      <c r="D250" s="226">
        <f>D209</f>
        <v>610</v>
      </c>
      <c r="E250" s="213"/>
      <c r="F250" s="213"/>
      <c r="G250" s="213"/>
      <c r="H250" s="213"/>
      <c r="I250" s="213"/>
      <c r="J250" s="213"/>
      <c r="K250" s="213"/>
      <c r="L250" s="213"/>
      <c r="M250" s="213"/>
      <c r="N250" s="213"/>
      <c r="O250" s="213"/>
      <c r="P250" s="213"/>
      <c r="Q250" s="213"/>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row>
    <row r="251" spans="1:43" s="208" customFormat="1" ht="12.75">
      <c r="A251" s="213"/>
      <c r="B251" s="213"/>
      <c r="C251" s="213"/>
      <c r="D251" s="213"/>
      <c r="E251" s="213"/>
      <c r="F251" s="213"/>
      <c r="G251" s="213"/>
      <c r="H251" s="213"/>
      <c r="I251" s="213"/>
      <c r="J251" s="213"/>
      <c r="K251" s="213"/>
      <c r="L251" s="213"/>
      <c r="M251" s="213"/>
      <c r="N251" s="213"/>
      <c r="O251" s="213"/>
      <c r="P251" s="213"/>
      <c r="Q251" s="213"/>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row>
    <row r="252" spans="1:43" s="208" customFormat="1" ht="12.75">
      <c r="A252" s="213"/>
      <c r="B252" s="213"/>
      <c r="C252" s="213"/>
      <c r="D252" s="213"/>
      <c r="E252" s="213"/>
      <c r="F252" s="213"/>
      <c r="G252" s="213"/>
      <c r="H252" s="213"/>
      <c r="I252" s="213"/>
      <c r="J252" s="213"/>
      <c r="K252" s="213"/>
      <c r="L252" s="213"/>
      <c r="M252" s="213"/>
      <c r="N252" s="213"/>
      <c r="O252" s="213"/>
      <c r="P252" s="213"/>
      <c r="Q252" s="213"/>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c r="AP252" s="212"/>
      <c r="AQ252" s="212"/>
    </row>
    <row r="253" spans="1:43" s="208" customFormat="1" ht="15">
      <c r="A253" s="229" t="s">
        <v>29</v>
      </c>
      <c r="B253" s="213"/>
      <c r="C253" s="213"/>
      <c r="D253" s="213"/>
      <c r="E253" s="213"/>
      <c r="F253" s="213"/>
      <c r="G253" s="213"/>
      <c r="H253" s="213"/>
      <c r="I253" s="213"/>
      <c r="J253" s="213"/>
      <c r="K253" s="213"/>
      <c r="L253" s="213"/>
      <c r="M253" s="213"/>
      <c r="N253" s="213"/>
      <c r="O253" s="213"/>
      <c r="P253" s="213"/>
      <c r="Q253" s="213"/>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c r="AP253" s="212"/>
      <c r="AQ253" s="212"/>
    </row>
    <row r="254" spans="1:44" s="208" customFormat="1" ht="12.75">
      <c r="A254" s="216" t="s">
        <v>0</v>
      </c>
      <c r="B254" s="216" t="s">
        <v>2</v>
      </c>
      <c r="C254" s="217" t="s">
        <v>4</v>
      </c>
      <c r="D254" s="216" t="s">
        <v>12</v>
      </c>
      <c r="E254" s="216" t="s">
        <v>6</v>
      </c>
      <c r="F254" s="216" t="s">
        <v>6</v>
      </c>
      <c r="G254" s="216" t="s">
        <v>1</v>
      </c>
      <c r="H254" s="216" t="s">
        <v>1</v>
      </c>
      <c r="I254" s="216" t="s">
        <v>15</v>
      </c>
      <c r="J254" s="216" t="s">
        <v>17</v>
      </c>
      <c r="K254" s="216" t="s">
        <v>31</v>
      </c>
      <c r="L254" s="216" t="s">
        <v>35</v>
      </c>
      <c r="M254" s="216" t="s">
        <v>34</v>
      </c>
      <c r="N254" s="216" t="s">
        <v>34</v>
      </c>
      <c r="O254" s="216" t="s">
        <v>42</v>
      </c>
      <c r="P254" s="216" t="s">
        <v>5</v>
      </c>
      <c r="Q254" s="216" t="s">
        <v>49</v>
      </c>
      <c r="R254" s="230" t="s">
        <v>45</v>
      </c>
      <c r="S254" s="230" t="s">
        <v>47</v>
      </c>
      <c r="T254" s="230" t="s">
        <v>51</v>
      </c>
      <c r="U254" s="230" t="s">
        <v>51</v>
      </c>
      <c r="V254" s="230" t="s">
        <v>56</v>
      </c>
      <c r="W254" s="230" t="s">
        <v>1</v>
      </c>
      <c r="X254" s="230" t="s">
        <v>60</v>
      </c>
      <c r="Y254" s="230" t="s">
        <v>60</v>
      </c>
      <c r="Z254" s="230" t="s">
        <v>1</v>
      </c>
      <c r="AA254" s="230" t="s">
        <v>60</v>
      </c>
      <c r="AB254" s="230" t="s">
        <v>60</v>
      </c>
      <c r="AC254" s="230" t="s">
        <v>1</v>
      </c>
      <c r="AD254" s="231" t="s">
        <v>56</v>
      </c>
      <c r="AE254" s="231" t="s">
        <v>1</v>
      </c>
      <c r="AF254" s="230" t="s">
        <v>84</v>
      </c>
      <c r="AG254" s="232" t="s">
        <v>86</v>
      </c>
      <c r="AH254" s="232" t="s">
        <v>17</v>
      </c>
      <c r="AI254" s="232" t="s">
        <v>88</v>
      </c>
      <c r="AJ254" s="232" t="s">
        <v>1</v>
      </c>
      <c r="AK254" s="232" t="s">
        <v>5</v>
      </c>
      <c r="AL254" s="232" t="s">
        <v>5</v>
      </c>
      <c r="AM254" s="232" t="s">
        <v>1</v>
      </c>
      <c r="AN254" s="232" t="s">
        <v>90</v>
      </c>
      <c r="AO254" s="232" t="s">
        <v>5</v>
      </c>
      <c r="AP254" s="232" t="s">
        <v>1</v>
      </c>
      <c r="AQ254" s="232" t="s">
        <v>114</v>
      </c>
      <c r="AR254" s="233" t="s">
        <v>1</v>
      </c>
    </row>
    <row r="255" spans="1:44" s="208" customFormat="1" ht="12.75">
      <c r="A255" s="216"/>
      <c r="B255" s="216" t="s">
        <v>3</v>
      </c>
      <c r="C255" s="217" t="s">
        <v>5</v>
      </c>
      <c r="D255" s="216" t="s">
        <v>13</v>
      </c>
      <c r="E255" s="216" t="s">
        <v>7</v>
      </c>
      <c r="F255" s="216" t="s">
        <v>19</v>
      </c>
      <c r="G255" s="216" t="s">
        <v>19</v>
      </c>
      <c r="H255" s="216" t="s">
        <v>14</v>
      </c>
      <c r="I255" s="216" t="s">
        <v>16</v>
      </c>
      <c r="J255" s="216" t="s">
        <v>18</v>
      </c>
      <c r="K255" s="216" t="s">
        <v>8</v>
      </c>
      <c r="L255" s="216" t="s">
        <v>0</v>
      </c>
      <c r="M255" s="216" t="s">
        <v>0</v>
      </c>
      <c r="N255" s="216" t="s">
        <v>1</v>
      </c>
      <c r="O255" s="216" t="s">
        <v>43</v>
      </c>
      <c r="P255" s="216" t="s">
        <v>50</v>
      </c>
      <c r="Q255" s="216" t="s">
        <v>44</v>
      </c>
      <c r="R255" s="230" t="s">
        <v>46</v>
      </c>
      <c r="S255" s="230" t="s">
        <v>46</v>
      </c>
      <c r="T255" s="230" t="s">
        <v>52</v>
      </c>
      <c r="U255" s="230" t="s">
        <v>53</v>
      </c>
      <c r="V255" s="230" t="s">
        <v>57</v>
      </c>
      <c r="W255" s="230" t="s">
        <v>59</v>
      </c>
      <c r="X255" s="230" t="s">
        <v>61</v>
      </c>
      <c r="Y255" s="230" t="s">
        <v>66</v>
      </c>
      <c r="Z255" s="230" t="s">
        <v>67</v>
      </c>
      <c r="AA255" s="230" t="s">
        <v>62</v>
      </c>
      <c r="AB255" s="230" t="s">
        <v>65</v>
      </c>
      <c r="AC255" s="230" t="s">
        <v>64</v>
      </c>
      <c r="AD255" s="231" t="s">
        <v>68</v>
      </c>
      <c r="AE255" s="231" t="s">
        <v>69</v>
      </c>
      <c r="AF255" s="230" t="s">
        <v>89</v>
      </c>
      <c r="AG255" s="232" t="s">
        <v>90</v>
      </c>
      <c r="AH255" s="232" t="s">
        <v>87</v>
      </c>
      <c r="AI255" s="232" t="s">
        <v>91</v>
      </c>
      <c r="AJ255" s="232" t="s">
        <v>85</v>
      </c>
      <c r="AK255" s="232" t="s">
        <v>93</v>
      </c>
      <c r="AL255" s="232" t="s">
        <v>95</v>
      </c>
      <c r="AM255" s="232" t="s">
        <v>97</v>
      </c>
      <c r="AN255" s="232" t="s">
        <v>93</v>
      </c>
      <c r="AO255" s="232" t="s">
        <v>94</v>
      </c>
      <c r="AP255" s="232">
        <v>5</v>
      </c>
      <c r="AQ255" s="232" t="s">
        <v>115</v>
      </c>
      <c r="AR255" s="234" t="s">
        <v>116</v>
      </c>
    </row>
    <row r="256" spans="1:44" s="208" customFormat="1" ht="12.75">
      <c r="A256" s="213" t="str">
        <f>A14</f>
        <v>BLANC</v>
      </c>
      <c r="B256" s="213">
        <f>B191</f>
        <v>1</v>
      </c>
      <c r="C256" s="220">
        <f>IF(L191&gt;$L$212,C191,0)</f>
        <v>0</v>
      </c>
      <c r="D256" s="213">
        <f>B256*C256</f>
        <v>0</v>
      </c>
      <c r="E256" s="221">
        <f>E191</f>
        <v>0</v>
      </c>
      <c r="F256" s="221">
        <f aca="true" t="shared" si="52" ref="F256:F262">C256-(C256*E256/100)</f>
        <v>0</v>
      </c>
      <c r="G256" s="213">
        <f>F256*B256</f>
        <v>0</v>
      </c>
      <c r="H256" s="213">
        <f>IF(G256&gt;D272,D272,G256)</f>
        <v>0</v>
      </c>
      <c r="I256" s="213">
        <f>D272-H256</f>
        <v>3660</v>
      </c>
      <c r="J256" s="213">
        <f>FLOOR((H256/B256)/$C$27,5)</f>
        <v>0</v>
      </c>
      <c r="K256" s="213">
        <f>J256*B256</f>
        <v>0</v>
      </c>
      <c r="L256" s="213">
        <f>IF(C256&gt;=1,$D$200-L265,0)</f>
        <v>0</v>
      </c>
      <c r="M256" s="213" t="str">
        <f>A256</f>
        <v>BLANC</v>
      </c>
      <c r="N256" s="213">
        <f>B256</f>
        <v>1</v>
      </c>
      <c r="O256" s="213">
        <f aca="true" t="shared" si="53" ref="O256:O261">IF(C256=0,50000,IF(FLOOR($D$276/B256,1)=0,50000,FLOOR($D$276/B256,1)))</f>
        <v>50000</v>
      </c>
      <c r="P256" s="213">
        <f>IF(O256=50000,50000,IF(O256*N256=$D$276,O256,50000))</f>
        <v>50000</v>
      </c>
      <c r="Q256" s="213">
        <f>IF(MIN($P$256:$P$262)=50000,0,IF(O256=MIN($P$256:$P$262),O256,0))</f>
        <v>0</v>
      </c>
      <c r="R256" s="212">
        <f>J256+Q256</f>
        <v>0</v>
      </c>
      <c r="S256" s="212">
        <f>R256*B256</f>
        <v>0</v>
      </c>
      <c r="T256" s="212">
        <f>IF($D$277=0,0,$D$276/B256)</f>
        <v>0</v>
      </c>
      <c r="U256" s="212">
        <f>IF(T256=1,IF(C191&gt;=$D$269,1,0),0)</f>
        <v>0</v>
      </c>
      <c r="V256" s="212">
        <f>R256+U256</f>
        <v>0</v>
      </c>
      <c r="W256" s="212">
        <f aca="true" t="shared" si="54" ref="W256:W262">V256*N256</f>
        <v>0</v>
      </c>
      <c r="X256" s="212">
        <f aca="true" t="shared" si="55" ref="X256:X262">IF(C256&gt;=$D$269,IF(INT($D$278/B256)=0,50000,INT($D$278/B256)),50000)</f>
        <v>50000</v>
      </c>
      <c r="Y256" s="212">
        <f>IF(X256=50000,0,IF(X256=MIN($X$256:$X$262),X256,0))</f>
        <v>0</v>
      </c>
      <c r="Z256" s="212">
        <f aca="true" t="shared" si="56" ref="Z256:Z262">IF(Y256=0,0,Y256*B256)</f>
        <v>0</v>
      </c>
      <c r="AA256" s="212">
        <f aca="true" t="shared" si="57" ref="AA256:AA262">IF(C256&gt;=$D$269,IF(INT($Z$265/B256)=0,50000,INT($Z$265/B256)),50000)</f>
        <v>50000</v>
      </c>
      <c r="AB256" s="212">
        <f>IF(AA256=50000,0,IF(AA256=MIN($AA$256:$AA$262),AA256,0))</f>
        <v>0</v>
      </c>
      <c r="AC256" s="212">
        <f aca="true" t="shared" si="58" ref="AC256:AC262">IF(AB256=0,0,AB256*E256)</f>
        <v>0</v>
      </c>
      <c r="AD256" s="235">
        <f>V256+Y256+AB256</f>
        <v>0</v>
      </c>
      <c r="AE256" s="235">
        <f aca="true" t="shared" si="59" ref="AE256:AE262">AD256*B256</f>
        <v>0</v>
      </c>
      <c r="AF256" s="212" t="str">
        <f>M256</f>
        <v>BLANC</v>
      </c>
      <c r="AG256" s="212">
        <f>B256</f>
        <v>1</v>
      </c>
      <c r="AH256" s="212">
        <f>C191</f>
        <v>100</v>
      </c>
      <c r="AI256" s="212">
        <f>L256</f>
        <v>0</v>
      </c>
      <c r="AJ256" s="236">
        <f>IF((AH256*AG256)=0,"0",AG256)</f>
        <v>1</v>
      </c>
      <c r="AK256" s="236" t="str">
        <f>IF(AJ256="0","A",IF(INT($AG$265/AJ256)=0,"A",INT($AG$265/AJ256)))</f>
        <v>A</v>
      </c>
      <c r="AL256" s="236">
        <f>IF(AK256="A",0,IF(AK256=MIN(AK256:AK262),AK256,0))</f>
        <v>0</v>
      </c>
      <c r="AM256" s="212">
        <f>AL256*AG256</f>
        <v>0</v>
      </c>
      <c r="AN256" s="236" t="str">
        <f>IF(AJ256="0","A",IF(INT($AH$266/AJ256)=0,"A",INT($AH$266/AJ256)))</f>
        <v>A</v>
      </c>
      <c r="AO256" s="236">
        <f>IF(AN256&lt;&gt;0,IF(AN256=MIN(AN256:AN262),AN256,0),0)</f>
        <v>0</v>
      </c>
      <c r="AP256" s="212">
        <f>AO256*AG256</f>
        <v>0</v>
      </c>
      <c r="AQ256" s="212">
        <f>AO256+AL256+AD256</f>
        <v>0</v>
      </c>
      <c r="AR256" s="208">
        <f>AQ256*AG256</f>
        <v>0</v>
      </c>
    </row>
    <row r="257" spans="1:44" s="208" customFormat="1" ht="12.75">
      <c r="A257" s="213" t="str">
        <f aca="true" t="shared" si="60" ref="A257:A263">A15</f>
        <v>ROUGE</v>
      </c>
      <c r="B257" s="213">
        <f aca="true" t="shared" si="61" ref="B257:B262">B192</f>
        <v>5</v>
      </c>
      <c r="C257" s="220">
        <f aca="true" t="shared" si="62" ref="C257:C262">IF(L192&gt;$L$212,C192,0)</f>
        <v>100</v>
      </c>
      <c r="D257" s="213">
        <f aca="true" t="shared" si="63" ref="D257:D262">B257*C257</f>
        <v>500</v>
      </c>
      <c r="E257" s="221">
        <f aca="true" t="shared" si="64" ref="E257:E262">E192</f>
        <v>12</v>
      </c>
      <c r="F257" s="221">
        <f t="shared" si="52"/>
        <v>88</v>
      </c>
      <c r="G257" s="213">
        <f aca="true" t="shared" si="65" ref="G257:G262">F257*B257</f>
        <v>440</v>
      </c>
      <c r="H257" s="213">
        <f aca="true" t="shared" si="66" ref="H257:H262">IF(G257&gt;I256,I256,G257)</f>
        <v>440</v>
      </c>
      <c r="I257" s="213">
        <f aca="true" t="shared" si="67" ref="I257:I262">I256-H257</f>
        <v>3220</v>
      </c>
      <c r="J257" s="213">
        <f aca="true" t="shared" si="68" ref="J257:J262">FLOOR((H257/B257)/$C$27,1)</f>
        <v>14</v>
      </c>
      <c r="K257" s="213">
        <f aca="true" t="shared" si="69" ref="K257:K262">J257*B257</f>
        <v>70</v>
      </c>
      <c r="L257" s="213">
        <f aca="true" t="shared" si="70" ref="L257:L262">IF(C257&gt;=1,$D$200-L266,0)</f>
        <v>2</v>
      </c>
      <c r="M257" s="213" t="str">
        <f aca="true" t="shared" si="71" ref="M257:M262">A257</f>
        <v>ROUGE</v>
      </c>
      <c r="N257" s="213">
        <f aca="true" t="shared" si="72" ref="N257:N262">B257</f>
        <v>5</v>
      </c>
      <c r="O257" s="213">
        <f t="shared" si="53"/>
        <v>3</v>
      </c>
      <c r="P257" s="213">
        <f aca="true" t="shared" si="73" ref="P257:P262">IF(O257=50000,50000,IF(O257*N257=$D$276,O257,50000))</f>
        <v>3</v>
      </c>
      <c r="Q257" s="213">
        <f aca="true" t="shared" si="74" ref="Q257:Q262">IF(MIN($P$256:$P$262)=50000,0,IF(O257=MIN($P$256:$P$262),O257,0))</f>
        <v>3</v>
      </c>
      <c r="R257" s="212">
        <f aca="true" t="shared" si="75" ref="R257:R262">J257+Q257</f>
        <v>17</v>
      </c>
      <c r="S257" s="212">
        <f aca="true" t="shared" si="76" ref="S257:S262">R257*B257</f>
        <v>85</v>
      </c>
      <c r="T257" s="212">
        <f aca="true" t="shared" si="77" ref="T257:T262">IF($D$277=0,0,$D$276/B257)</f>
        <v>0</v>
      </c>
      <c r="U257" s="212">
        <f aca="true" t="shared" si="78" ref="U257:U262">IF(T257=1,IF(C192&gt;=$D$269,1,0),0)</f>
        <v>0</v>
      </c>
      <c r="V257" s="212">
        <f aca="true" t="shared" si="79" ref="V257:V262">R257+U257</f>
        <v>17</v>
      </c>
      <c r="W257" s="212">
        <f t="shared" si="54"/>
        <v>85</v>
      </c>
      <c r="X257" s="212">
        <f t="shared" si="55"/>
        <v>50000</v>
      </c>
      <c r="Y257" s="212">
        <f aca="true" t="shared" si="80" ref="Y257:Y262">IF(X257=50000,0,IF(X257=MIN($X$256:$X$262),X257,0))</f>
        <v>0</v>
      </c>
      <c r="Z257" s="212">
        <f t="shared" si="56"/>
        <v>0</v>
      </c>
      <c r="AA257" s="212">
        <f t="shared" si="57"/>
        <v>50000</v>
      </c>
      <c r="AB257" s="212">
        <f aca="true" t="shared" si="81" ref="AB257:AB262">IF(AA257=50000,0,IF(AA257=MIN($AA$256:$AA$262),AA257,0))</f>
        <v>0</v>
      </c>
      <c r="AC257" s="212">
        <f t="shared" si="58"/>
        <v>0</v>
      </c>
      <c r="AD257" s="235">
        <f aca="true" t="shared" si="82" ref="AD257:AD262">V257+Y257+AB257</f>
        <v>17</v>
      </c>
      <c r="AE257" s="235">
        <f t="shared" si="59"/>
        <v>85</v>
      </c>
      <c r="AF257" s="212" t="str">
        <f aca="true" t="shared" si="83" ref="AF257:AF262">M257</f>
        <v>ROUGE</v>
      </c>
      <c r="AG257" s="212">
        <f aca="true" t="shared" si="84" ref="AG257:AG262">B257</f>
        <v>5</v>
      </c>
      <c r="AH257" s="212">
        <f aca="true" t="shared" si="85" ref="AH257:AH262">C192</f>
        <v>100</v>
      </c>
      <c r="AI257" s="212">
        <f aca="true" t="shared" si="86" ref="AI257:AI262">L257</f>
        <v>2</v>
      </c>
      <c r="AJ257" s="236">
        <f aca="true" t="shared" si="87" ref="AJ257:AJ262">IF((AH257*AG257)=0,"0",AG257)</f>
        <v>5</v>
      </c>
      <c r="AK257" s="236" t="str">
        <f aca="true" t="shared" si="88" ref="AK257:AK262">IF(AJ257="0","A",IF(INT($AG$265/AJ257)=0,"A",INT($AG$265/AJ257)))</f>
        <v>A</v>
      </c>
      <c r="AL257" s="236">
        <f aca="true" t="shared" si="89" ref="AL257:AL262">IF(AK257="A",0,IF(AK257=MIN(AK257:AK263),AK257,0))</f>
        <v>0</v>
      </c>
      <c r="AM257" s="212">
        <f aca="true" t="shared" si="90" ref="AM257:AM262">AL257*AG257</f>
        <v>0</v>
      </c>
      <c r="AN257" s="236" t="str">
        <f aca="true" t="shared" si="91" ref="AN257:AN262">IF(AJ257="0","A",IF(INT($AH$266/AJ257)=0,"A",INT($AH$266/AJ257)))</f>
        <v>A</v>
      </c>
      <c r="AO257" s="236">
        <f aca="true" t="shared" si="92" ref="AO257:AO262">IF(AN257&lt;&gt;0,IF(AN257=MIN(AN257:AN263),AN257,0),0)</f>
        <v>0</v>
      </c>
      <c r="AP257" s="212">
        <f aca="true" t="shared" si="93" ref="AP257:AP262">AO257*AG257</f>
        <v>0</v>
      </c>
      <c r="AQ257" s="212">
        <f aca="true" t="shared" si="94" ref="AQ257:AQ262">AO257+AL257+AD257</f>
        <v>17</v>
      </c>
      <c r="AR257" s="208">
        <f aca="true" t="shared" si="95" ref="AR257:AR262">AQ257*AG257</f>
        <v>85</v>
      </c>
    </row>
    <row r="258" spans="1:44" s="208" customFormat="1" ht="12.75">
      <c r="A258" s="213" t="str">
        <f t="shared" si="60"/>
        <v>BLEU</v>
      </c>
      <c r="B258" s="213">
        <f t="shared" si="61"/>
        <v>10</v>
      </c>
      <c r="C258" s="220">
        <f t="shared" si="62"/>
        <v>100</v>
      </c>
      <c r="D258" s="213">
        <f t="shared" si="63"/>
        <v>1000</v>
      </c>
      <c r="E258" s="221">
        <f t="shared" si="64"/>
        <v>10</v>
      </c>
      <c r="F258" s="221">
        <f t="shared" si="52"/>
        <v>90</v>
      </c>
      <c r="G258" s="213">
        <f t="shared" si="65"/>
        <v>900</v>
      </c>
      <c r="H258" s="213">
        <f t="shared" si="66"/>
        <v>900</v>
      </c>
      <c r="I258" s="213">
        <f t="shared" si="67"/>
        <v>2320</v>
      </c>
      <c r="J258" s="213">
        <f t="shared" si="68"/>
        <v>15</v>
      </c>
      <c r="K258" s="213">
        <f t="shared" si="69"/>
        <v>150</v>
      </c>
      <c r="L258" s="213">
        <f t="shared" si="70"/>
        <v>3</v>
      </c>
      <c r="M258" s="213" t="str">
        <f t="shared" si="71"/>
        <v>BLEU</v>
      </c>
      <c r="N258" s="213">
        <f t="shared" si="72"/>
        <v>10</v>
      </c>
      <c r="O258" s="213">
        <f t="shared" si="53"/>
        <v>1</v>
      </c>
      <c r="P258" s="213">
        <f t="shared" si="73"/>
        <v>50000</v>
      </c>
      <c r="Q258" s="213">
        <f t="shared" si="74"/>
        <v>0</v>
      </c>
      <c r="R258" s="212">
        <f t="shared" si="75"/>
        <v>15</v>
      </c>
      <c r="S258" s="212">
        <f t="shared" si="76"/>
        <v>150</v>
      </c>
      <c r="T258" s="212">
        <f t="shared" si="77"/>
        <v>0</v>
      </c>
      <c r="U258" s="212">
        <f t="shared" si="78"/>
        <v>0</v>
      </c>
      <c r="V258" s="212">
        <f t="shared" si="79"/>
        <v>15</v>
      </c>
      <c r="W258" s="212">
        <f t="shared" si="54"/>
        <v>150</v>
      </c>
      <c r="X258" s="212">
        <f t="shared" si="55"/>
        <v>50000</v>
      </c>
      <c r="Y258" s="212">
        <f t="shared" si="80"/>
        <v>0</v>
      </c>
      <c r="Z258" s="212">
        <f t="shared" si="56"/>
        <v>0</v>
      </c>
      <c r="AA258" s="212">
        <f t="shared" si="57"/>
        <v>50000</v>
      </c>
      <c r="AB258" s="212">
        <f t="shared" si="81"/>
        <v>0</v>
      </c>
      <c r="AC258" s="212">
        <f t="shared" si="58"/>
        <v>0</v>
      </c>
      <c r="AD258" s="235">
        <f t="shared" si="82"/>
        <v>15</v>
      </c>
      <c r="AE258" s="235">
        <f t="shared" si="59"/>
        <v>150</v>
      </c>
      <c r="AF258" s="212" t="str">
        <f t="shared" si="83"/>
        <v>BLEU</v>
      </c>
      <c r="AG258" s="212">
        <f t="shared" si="84"/>
        <v>10</v>
      </c>
      <c r="AH258" s="212">
        <f t="shared" si="85"/>
        <v>100</v>
      </c>
      <c r="AI258" s="212">
        <f t="shared" si="86"/>
        <v>3</v>
      </c>
      <c r="AJ258" s="236">
        <f t="shared" si="87"/>
        <v>10</v>
      </c>
      <c r="AK258" s="236" t="str">
        <f t="shared" si="88"/>
        <v>A</v>
      </c>
      <c r="AL258" s="236">
        <f t="shared" si="89"/>
        <v>0</v>
      </c>
      <c r="AM258" s="212">
        <f t="shared" si="90"/>
        <v>0</v>
      </c>
      <c r="AN258" s="236" t="str">
        <f t="shared" si="91"/>
        <v>A</v>
      </c>
      <c r="AO258" s="236">
        <f t="shared" si="92"/>
        <v>0</v>
      </c>
      <c r="AP258" s="212">
        <f t="shared" si="93"/>
        <v>0</v>
      </c>
      <c r="AQ258" s="212">
        <f t="shared" si="94"/>
        <v>15</v>
      </c>
      <c r="AR258" s="208">
        <f t="shared" si="95"/>
        <v>150</v>
      </c>
    </row>
    <row r="259" spans="1:44" s="208" customFormat="1" ht="12.75">
      <c r="A259" s="213" t="str">
        <f t="shared" si="60"/>
        <v>VERT</v>
      </c>
      <c r="B259" s="213">
        <f t="shared" si="61"/>
        <v>25</v>
      </c>
      <c r="C259" s="220">
        <f t="shared" si="62"/>
        <v>100</v>
      </c>
      <c r="D259" s="213">
        <f t="shared" si="63"/>
        <v>2500</v>
      </c>
      <c r="E259" s="221">
        <f t="shared" si="64"/>
        <v>10</v>
      </c>
      <c r="F259" s="221">
        <f t="shared" si="52"/>
        <v>90</v>
      </c>
      <c r="G259" s="213">
        <f t="shared" si="65"/>
        <v>2250</v>
      </c>
      <c r="H259" s="213">
        <f t="shared" si="66"/>
        <v>2250</v>
      </c>
      <c r="I259" s="213">
        <f t="shared" si="67"/>
        <v>70</v>
      </c>
      <c r="J259" s="213">
        <f t="shared" si="68"/>
        <v>15</v>
      </c>
      <c r="K259" s="213">
        <f t="shared" si="69"/>
        <v>375</v>
      </c>
      <c r="L259" s="213">
        <f t="shared" si="70"/>
        <v>4</v>
      </c>
      <c r="M259" s="213" t="str">
        <f t="shared" si="71"/>
        <v>VERT</v>
      </c>
      <c r="N259" s="213">
        <f t="shared" si="72"/>
        <v>25</v>
      </c>
      <c r="O259" s="213">
        <f t="shared" si="53"/>
        <v>50000</v>
      </c>
      <c r="P259" s="213">
        <f t="shared" si="73"/>
        <v>50000</v>
      </c>
      <c r="Q259" s="213">
        <f t="shared" si="74"/>
        <v>0</v>
      </c>
      <c r="R259" s="212">
        <f t="shared" si="75"/>
        <v>15</v>
      </c>
      <c r="S259" s="212">
        <f t="shared" si="76"/>
        <v>375</v>
      </c>
      <c r="T259" s="212">
        <f t="shared" si="77"/>
        <v>0</v>
      </c>
      <c r="U259" s="212">
        <f t="shared" si="78"/>
        <v>0</v>
      </c>
      <c r="V259" s="212">
        <f t="shared" si="79"/>
        <v>15</v>
      </c>
      <c r="W259" s="212">
        <f t="shared" si="54"/>
        <v>375</v>
      </c>
      <c r="X259" s="212">
        <f t="shared" si="55"/>
        <v>50000</v>
      </c>
      <c r="Y259" s="212">
        <f t="shared" si="80"/>
        <v>0</v>
      </c>
      <c r="Z259" s="212">
        <f t="shared" si="56"/>
        <v>0</v>
      </c>
      <c r="AA259" s="212">
        <f t="shared" si="57"/>
        <v>50000</v>
      </c>
      <c r="AB259" s="212">
        <f t="shared" si="81"/>
        <v>0</v>
      </c>
      <c r="AC259" s="212">
        <f t="shared" si="58"/>
        <v>0</v>
      </c>
      <c r="AD259" s="235">
        <f t="shared" si="82"/>
        <v>15</v>
      </c>
      <c r="AE259" s="235">
        <f t="shared" si="59"/>
        <v>375</v>
      </c>
      <c r="AF259" s="212" t="str">
        <f t="shared" si="83"/>
        <v>VERT</v>
      </c>
      <c r="AG259" s="212">
        <f t="shared" si="84"/>
        <v>25</v>
      </c>
      <c r="AH259" s="212">
        <f t="shared" si="85"/>
        <v>100</v>
      </c>
      <c r="AI259" s="212">
        <f t="shared" si="86"/>
        <v>4</v>
      </c>
      <c r="AJ259" s="236">
        <f t="shared" si="87"/>
        <v>25</v>
      </c>
      <c r="AK259" s="236" t="str">
        <f t="shared" si="88"/>
        <v>A</v>
      </c>
      <c r="AL259" s="236">
        <f t="shared" si="89"/>
        <v>0</v>
      </c>
      <c r="AM259" s="212">
        <f t="shared" si="90"/>
        <v>0</v>
      </c>
      <c r="AN259" s="236" t="str">
        <f t="shared" si="91"/>
        <v>A</v>
      </c>
      <c r="AO259" s="236">
        <f t="shared" si="92"/>
        <v>0</v>
      </c>
      <c r="AP259" s="212">
        <f t="shared" si="93"/>
        <v>0</v>
      </c>
      <c r="AQ259" s="212">
        <f t="shared" si="94"/>
        <v>15</v>
      </c>
      <c r="AR259" s="208">
        <f t="shared" si="95"/>
        <v>375</v>
      </c>
    </row>
    <row r="260" spans="1:44" s="208" customFormat="1" ht="12.75">
      <c r="A260" s="213" t="str">
        <f t="shared" si="60"/>
        <v>JAUNE</v>
      </c>
      <c r="B260" s="213">
        <f t="shared" si="61"/>
        <v>50</v>
      </c>
      <c r="C260" s="220">
        <f t="shared" si="62"/>
        <v>50</v>
      </c>
      <c r="D260" s="213">
        <f t="shared" si="63"/>
        <v>2500</v>
      </c>
      <c r="E260" s="221">
        <f t="shared" si="64"/>
        <v>10</v>
      </c>
      <c r="F260" s="221">
        <f t="shared" si="52"/>
        <v>45</v>
      </c>
      <c r="G260" s="213">
        <f t="shared" si="65"/>
        <v>2250</v>
      </c>
      <c r="H260" s="213">
        <f t="shared" si="66"/>
        <v>70</v>
      </c>
      <c r="I260" s="213">
        <f t="shared" si="67"/>
        <v>0</v>
      </c>
      <c r="J260" s="213">
        <f t="shared" si="68"/>
        <v>0</v>
      </c>
      <c r="K260" s="213">
        <f t="shared" si="69"/>
        <v>0</v>
      </c>
      <c r="L260" s="213">
        <f t="shared" si="70"/>
        <v>5</v>
      </c>
      <c r="M260" s="213" t="str">
        <f t="shared" si="71"/>
        <v>JAUNE</v>
      </c>
      <c r="N260" s="213">
        <f t="shared" si="72"/>
        <v>50</v>
      </c>
      <c r="O260" s="213">
        <f t="shared" si="53"/>
        <v>50000</v>
      </c>
      <c r="P260" s="213">
        <f t="shared" si="73"/>
        <v>50000</v>
      </c>
      <c r="Q260" s="213">
        <f t="shared" si="74"/>
        <v>0</v>
      </c>
      <c r="R260" s="212">
        <f t="shared" si="75"/>
        <v>0</v>
      </c>
      <c r="S260" s="212">
        <f t="shared" si="76"/>
        <v>0</v>
      </c>
      <c r="T260" s="212">
        <f t="shared" si="77"/>
        <v>0</v>
      </c>
      <c r="U260" s="212">
        <f t="shared" si="78"/>
        <v>0</v>
      </c>
      <c r="V260" s="212">
        <f t="shared" si="79"/>
        <v>0</v>
      </c>
      <c r="W260" s="212">
        <f t="shared" si="54"/>
        <v>0</v>
      </c>
      <c r="X260" s="212">
        <f t="shared" si="55"/>
        <v>50000</v>
      </c>
      <c r="Y260" s="212">
        <f t="shared" si="80"/>
        <v>0</v>
      </c>
      <c r="Z260" s="212">
        <f t="shared" si="56"/>
        <v>0</v>
      </c>
      <c r="AA260" s="212">
        <f t="shared" si="57"/>
        <v>50000</v>
      </c>
      <c r="AB260" s="212">
        <f t="shared" si="81"/>
        <v>0</v>
      </c>
      <c r="AC260" s="212">
        <f t="shared" si="58"/>
        <v>0</v>
      </c>
      <c r="AD260" s="235">
        <f t="shared" si="82"/>
        <v>0</v>
      </c>
      <c r="AE260" s="235">
        <f t="shared" si="59"/>
        <v>0</v>
      </c>
      <c r="AF260" s="212" t="str">
        <f t="shared" si="83"/>
        <v>JAUNE</v>
      </c>
      <c r="AG260" s="212">
        <f t="shared" si="84"/>
        <v>50</v>
      </c>
      <c r="AH260" s="212">
        <f t="shared" si="85"/>
        <v>50</v>
      </c>
      <c r="AI260" s="212">
        <f t="shared" si="86"/>
        <v>5</v>
      </c>
      <c r="AJ260" s="236">
        <f t="shared" si="87"/>
        <v>50</v>
      </c>
      <c r="AK260" s="236" t="str">
        <f t="shared" si="88"/>
        <v>A</v>
      </c>
      <c r="AL260" s="236">
        <f t="shared" si="89"/>
        <v>0</v>
      </c>
      <c r="AM260" s="212">
        <f t="shared" si="90"/>
        <v>0</v>
      </c>
      <c r="AN260" s="236" t="str">
        <f t="shared" si="91"/>
        <v>A</v>
      </c>
      <c r="AO260" s="236">
        <f t="shared" si="92"/>
        <v>0</v>
      </c>
      <c r="AP260" s="212">
        <f t="shared" si="93"/>
        <v>0</v>
      </c>
      <c r="AQ260" s="212">
        <f t="shared" si="94"/>
        <v>0</v>
      </c>
      <c r="AR260" s="208">
        <f t="shared" si="95"/>
        <v>0</v>
      </c>
    </row>
    <row r="261" spans="1:44" s="208" customFormat="1" ht="12.75">
      <c r="A261" s="213" t="str">
        <f t="shared" si="60"/>
        <v>NOIR</v>
      </c>
      <c r="B261" s="213">
        <f t="shared" si="61"/>
        <v>100</v>
      </c>
      <c r="C261" s="220">
        <f t="shared" si="62"/>
        <v>50</v>
      </c>
      <c r="D261" s="213">
        <f t="shared" si="63"/>
        <v>5000</v>
      </c>
      <c r="E261" s="221">
        <f t="shared" si="64"/>
        <v>10</v>
      </c>
      <c r="F261" s="221">
        <f t="shared" si="52"/>
        <v>45</v>
      </c>
      <c r="G261" s="213">
        <f t="shared" si="65"/>
        <v>4500</v>
      </c>
      <c r="H261" s="213">
        <f t="shared" si="66"/>
        <v>0</v>
      </c>
      <c r="I261" s="213">
        <f t="shared" si="67"/>
        <v>0</v>
      </c>
      <c r="J261" s="213">
        <f t="shared" si="68"/>
        <v>0</v>
      </c>
      <c r="K261" s="213">
        <f t="shared" si="69"/>
        <v>0</v>
      </c>
      <c r="L261" s="213">
        <f t="shared" si="70"/>
        <v>6</v>
      </c>
      <c r="M261" s="213" t="str">
        <f t="shared" si="71"/>
        <v>NOIR</v>
      </c>
      <c r="N261" s="213">
        <f t="shared" si="72"/>
        <v>100</v>
      </c>
      <c r="O261" s="213">
        <f t="shared" si="53"/>
        <v>50000</v>
      </c>
      <c r="P261" s="213">
        <f t="shared" si="73"/>
        <v>50000</v>
      </c>
      <c r="Q261" s="213">
        <f t="shared" si="74"/>
        <v>0</v>
      </c>
      <c r="R261" s="212">
        <f t="shared" si="75"/>
        <v>0</v>
      </c>
      <c r="S261" s="212">
        <f t="shared" si="76"/>
        <v>0</v>
      </c>
      <c r="T261" s="212">
        <f t="shared" si="77"/>
        <v>0</v>
      </c>
      <c r="U261" s="212">
        <f t="shared" si="78"/>
        <v>0</v>
      </c>
      <c r="V261" s="212">
        <f t="shared" si="79"/>
        <v>0</v>
      </c>
      <c r="W261" s="212">
        <f t="shared" si="54"/>
        <v>0</v>
      </c>
      <c r="X261" s="212">
        <f t="shared" si="55"/>
        <v>50000</v>
      </c>
      <c r="Y261" s="212">
        <f t="shared" si="80"/>
        <v>0</v>
      </c>
      <c r="Z261" s="212">
        <f t="shared" si="56"/>
        <v>0</v>
      </c>
      <c r="AA261" s="212">
        <f t="shared" si="57"/>
        <v>50000</v>
      </c>
      <c r="AB261" s="212">
        <f t="shared" si="81"/>
        <v>0</v>
      </c>
      <c r="AC261" s="212">
        <f t="shared" si="58"/>
        <v>0</v>
      </c>
      <c r="AD261" s="235">
        <f t="shared" si="82"/>
        <v>0</v>
      </c>
      <c r="AE261" s="235">
        <f t="shared" si="59"/>
        <v>0</v>
      </c>
      <c r="AF261" s="212" t="str">
        <f t="shared" si="83"/>
        <v>NOIR</v>
      </c>
      <c r="AG261" s="212">
        <f t="shared" si="84"/>
        <v>100</v>
      </c>
      <c r="AH261" s="212">
        <f t="shared" si="85"/>
        <v>50</v>
      </c>
      <c r="AI261" s="212">
        <f t="shared" si="86"/>
        <v>6</v>
      </c>
      <c r="AJ261" s="236">
        <f t="shared" si="87"/>
        <v>100</v>
      </c>
      <c r="AK261" s="236" t="str">
        <f t="shared" si="88"/>
        <v>A</v>
      </c>
      <c r="AL261" s="236">
        <f t="shared" si="89"/>
        <v>0</v>
      </c>
      <c r="AM261" s="212">
        <f t="shared" si="90"/>
        <v>0</v>
      </c>
      <c r="AN261" s="236" t="str">
        <f t="shared" si="91"/>
        <v>A</v>
      </c>
      <c r="AO261" s="236">
        <f t="shared" si="92"/>
        <v>0</v>
      </c>
      <c r="AP261" s="212">
        <f t="shared" si="93"/>
        <v>0</v>
      </c>
      <c r="AQ261" s="212">
        <f t="shared" si="94"/>
        <v>0</v>
      </c>
      <c r="AR261" s="208">
        <f t="shared" si="95"/>
        <v>0</v>
      </c>
    </row>
    <row r="262" spans="1:44" s="208" customFormat="1" ht="12.75">
      <c r="A262" s="213" t="str">
        <f t="shared" si="60"/>
        <v>MAUVE</v>
      </c>
      <c r="B262" s="213">
        <f t="shared" si="61"/>
        <v>500</v>
      </c>
      <c r="C262" s="220">
        <f t="shared" si="62"/>
        <v>0</v>
      </c>
      <c r="D262" s="213">
        <f t="shared" si="63"/>
        <v>0</v>
      </c>
      <c r="E262" s="221">
        <f t="shared" si="64"/>
        <v>0</v>
      </c>
      <c r="F262" s="221">
        <f t="shared" si="52"/>
        <v>0</v>
      </c>
      <c r="G262" s="213">
        <f t="shared" si="65"/>
        <v>0</v>
      </c>
      <c r="H262" s="213">
        <f t="shared" si="66"/>
        <v>0</v>
      </c>
      <c r="I262" s="213">
        <f t="shared" si="67"/>
        <v>0</v>
      </c>
      <c r="J262" s="213">
        <f t="shared" si="68"/>
        <v>0</v>
      </c>
      <c r="K262" s="213">
        <f t="shared" si="69"/>
        <v>0</v>
      </c>
      <c r="L262" s="213">
        <f t="shared" si="70"/>
        <v>0</v>
      </c>
      <c r="M262" s="213" t="str">
        <f t="shared" si="71"/>
        <v>MAUVE</v>
      </c>
      <c r="N262" s="213">
        <f t="shared" si="72"/>
        <v>500</v>
      </c>
      <c r="O262" s="213">
        <f>IF(C262=0,50000,IF(FLOOR($D$276/B262,1)=0,50000,FLOOR($D$276/B262,1)))</f>
        <v>50000</v>
      </c>
      <c r="P262" s="213">
        <f t="shared" si="73"/>
        <v>50000</v>
      </c>
      <c r="Q262" s="213">
        <f t="shared" si="74"/>
        <v>0</v>
      </c>
      <c r="R262" s="212">
        <f t="shared" si="75"/>
        <v>0</v>
      </c>
      <c r="S262" s="212">
        <f t="shared" si="76"/>
        <v>0</v>
      </c>
      <c r="T262" s="212">
        <f t="shared" si="77"/>
        <v>0</v>
      </c>
      <c r="U262" s="212">
        <f t="shared" si="78"/>
        <v>0</v>
      </c>
      <c r="V262" s="212">
        <f t="shared" si="79"/>
        <v>0</v>
      </c>
      <c r="W262" s="212">
        <f t="shared" si="54"/>
        <v>0</v>
      </c>
      <c r="X262" s="212">
        <f t="shared" si="55"/>
        <v>50000</v>
      </c>
      <c r="Y262" s="212">
        <f t="shared" si="80"/>
        <v>0</v>
      </c>
      <c r="Z262" s="212">
        <f t="shared" si="56"/>
        <v>0</v>
      </c>
      <c r="AA262" s="212">
        <f t="shared" si="57"/>
        <v>50000</v>
      </c>
      <c r="AB262" s="212">
        <f t="shared" si="81"/>
        <v>0</v>
      </c>
      <c r="AC262" s="212">
        <f t="shared" si="58"/>
        <v>0</v>
      </c>
      <c r="AD262" s="235">
        <f t="shared" si="82"/>
        <v>0</v>
      </c>
      <c r="AE262" s="235">
        <f t="shared" si="59"/>
        <v>0</v>
      </c>
      <c r="AF262" s="212" t="str">
        <f t="shared" si="83"/>
        <v>MAUVE</v>
      </c>
      <c r="AG262" s="212">
        <f t="shared" si="84"/>
        <v>500</v>
      </c>
      <c r="AH262" s="212">
        <f t="shared" si="85"/>
        <v>0</v>
      </c>
      <c r="AI262" s="212">
        <f t="shared" si="86"/>
        <v>0</v>
      </c>
      <c r="AJ262" s="236" t="str">
        <f t="shared" si="87"/>
        <v>0</v>
      </c>
      <c r="AK262" s="236" t="str">
        <f t="shared" si="88"/>
        <v>A</v>
      </c>
      <c r="AL262" s="236">
        <f t="shared" si="89"/>
        <v>0</v>
      </c>
      <c r="AM262" s="212">
        <f t="shared" si="90"/>
        <v>0</v>
      </c>
      <c r="AN262" s="236" t="str">
        <f t="shared" si="91"/>
        <v>A</v>
      </c>
      <c r="AO262" s="236">
        <f t="shared" si="92"/>
        <v>0</v>
      </c>
      <c r="AP262" s="212">
        <f t="shared" si="93"/>
        <v>0</v>
      </c>
      <c r="AQ262" s="212">
        <f t="shared" si="94"/>
        <v>0</v>
      </c>
      <c r="AR262" s="208">
        <f t="shared" si="95"/>
        <v>0</v>
      </c>
    </row>
    <row r="263" spans="1:44" s="208" customFormat="1" ht="12.75">
      <c r="A263" s="213" t="str">
        <f t="shared" si="60"/>
        <v>TOTAL</v>
      </c>
      <c r="B263" s="213"/>
      <c r="C263" s="213">
        <f>SUM(C256:C262)</f>
        <v>400</v>
      </c>
      <c r="D263" s="213">
        <f>SUM(D256:D262)</f>
        <v>11500</v>
      </c>
      <c r="E263" s="213"/>
      <c r="F263" s="221">
        <f>SUM(F256:F262)</f>
        <v>358</v>
      </c>
      <c r="G263" s="215">
        <f>G198</f>
        <v>10440</v>
      </c>
      <c r="H263" s="213"/>
      <c r="I263" s="213"/>
      <c r="J263" s="213">
        <f>SUM(J256:J262)</f>
        <v>44</v>
      </c>
      <c r="K263" s="213">
        <f>SUM(K256:K262)</f>
        <v>595</v>
      </c>
      <c r="L263" s="213"/>
      <c r="M263" s="213"/>
      <c r="N263" s="213"/>
      <c r="O263" s="213"/>
      <c r="P263" s="213"/>
      <c r="Q263" s="213"/>
      <c r="R263" s="212">
        <f>SUM(R256:R262)</f>
        <v>47</v>
      </c>
      <c r="S263" s="212">
        <f>SUM(S256:S262)</f>
        <v>610</v>
      </c>
      <c r="T263" s="212"/>
      <c r="U263" s="212"/>
      <c r="V263" s="212">
        <f>SUM(V256:V262)</f>
        <v>47</v>
      </c>
      <c r="W263" s="212">
        <f>SUM(W256:W262)</f>
        <v>610</v>
      </c>
      <c r="X263" s="212"/>
      <c r="Y263" s="212"/>
      <c r="Z263" s="212">
        <f>SUM(Z256:Z262)</f>
        <v>0</v>
      </c>
      <c r="AA263" s="212"/>
      <c r="AB263" s="212"/>
      <c r="AC263" s="212"/>
      <c r="AD263" s="235">
        <f>SUM(AD256:AD262)</f>
        <v>47</v>
      </c>
      <c r="AE263" s="235">
        <f>SUM(AE256:AE262)</f>
        <v>610</v>
      </c>
      <c r="AF263" s="212"/>
      <c r="AG263" s="212"/>
      <c r="AH263" s="212">
        <f>SUM(AH256:AH262)</f>
        <v>500</v>
      </c>
      <c r="AI263" s="212"/>
      <c r="AJ263" s="212"/>
      <c r="AK263" s="212"/>
      <c r="AL263" s="212"/>
      <c r="AM263" s="212">
        <f>SUM(AM256:AM262)</f>
        <v>0</v>
      </c>
      <c r="AN263" s="235"/>
      <c r="AO263" s="235"/>
      <c r="AP263" s="235">
        <f>SUM(AP256:AP262)</f>
        <v>0</v>
      </c>
      <c r="AQ263" s="235">
        <f>SUM(AQ256:AQ262)</f>
        <v>47</v>
      </c>
      <c r="AR263" s="237">
        <f>SUM(AR256:AR262)</f>
        <v>610</v>
      </c>
    </row>
    <row r="264" spans="1:43" s="208" customFormat="1" ht="12.75">
      <c r="A264" s="213"/>
      <c r="B264" s="213"/>
      <c r="C264" s="213"/>
      <c r="D264" s="213"/>
      <c r="E264" s="213"/>
      <c r="F264" s="213"/>
      <c r="G264" s="213"/>
      <c r="H264" s="213"/>
      <c r="I264" s="213"/>
      <c r="J264" s="213"/>
      <c r="K264" s="213"/>
      <c r="L264" s="213"/>
      <c r="M264" s="213"/>
      <c r="N264" s="213"/>
      <c r="O264" s="213"/>
      <c r="P264" s="213"/>
      <c r="Q264" s="213"/>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212"/>
      <c r="AO264" s="212"/>
      <c r="AP264" s="212"/>
      <c r="AQ264" s="212"/>
    </row>
    <row r="265" spans="1:43" s="208" customFormat="1" ht="12.75">
      <c r="A265" s="213" t="s">
        <v>33</v>
      </c>
      <c r="B265" s="213"/>
      <c r="C265" s="213"/>
      <c r="D265" s="213">
        <f>COUNTIF(C256:C262,"&gt;=1")</f>
        <v>5</v>
      </c>
      <c r="E265" s="213"/>
      <c r="F265" s="213"/>
      <c r="G265" s="222" t="s">
        <v>21</v>
      </c>
      <c r="H265" s="222"/>
      <c r="I265" s="213"/>
      <c r="J265" s="213" t="str">
        <f>"Couleurs utilisées après "&amp;A256&amp;":"</f>
        <v>Couleurs utilisées après BLANC:</v>
      </c>
      <c r="K265" s="213"/>
      <c r="L265" s="213">
        <f>COUNTIF(C257:$C$262,"&gt;=1")</f>
        <v>5</v>
      </c>
      <c r="M265" s="213"/>
      <c r="N265" s="213"/>
      <c r="O265" s="213"/>
      <c r="P265" s="213"/>
      <c r="Q265" s="213"/>
      <c r="R265" s="212"/>
      <c r="S265" s="212"/>
      <c r="T265" s="212"/>
      <c r="U265" s="212"/>
      <c r="V265" s="212"/>
      <c r="W265" s="212"/>
      <c r="X265" s="212" t="s">
        <v>63</v>
      </c>
      <c r="Y265" s="212"/>
      <c r="Z265" s="212">
        <f>D278-Z263</f>
        <v>0</v>
      </c>
      <c r="AA265" s="212"/>
      <c r="AB265" s="212"/>
      <c r="AC265" s="212"/>
      <c r="AD265" s="212"/>
      <c r="AE265" s="212"/>
      <c r="AF265" s="212" t="s">
        <v>92</v>
      </c>
      <c r="AG265" s="212">
        <f>D279</f>
        <v>0</v>
      </c>
      <c r="AH265" s="212"/>
      <c r="AI265" s="212"/>
      <c r="AJ265" s="212"/>
      <c r="AK265" s="212"/>
      <c r="AL265" s="212"/>
      <c r="AM265" s="212"/>
      <c r="AN265" s="212"/>
      <c r="AO265" s="212"/>
      <c r="AP265" s="212"/>
      <c r="AQ265" s="212"/>
    </row>
    <row r="266" spans="1:43" s="208" customFormat="1" ht="12.75">
      <c r="A266" s="213"/>
      <c r="B266" s="213"/>
      <c r="C266" s="213"/>
      <c r="D266" s="213"/>
      <c r="E266" s="213"/>
      <c r="F266" s="213"/>
      <c r="G266" s="222" t="s">
        <v>48</v>
      </c>
      <c r="H266" s="222"/>
      <c r="I266" s="213"/>
      <c r="J266" s="213" t="str">
        <f aca="true" t="shared" si="96" ref="J266:J271">"Couleurs utilisées après "&amp;A257&amp;":"</f>
        <v>Couleurs utilisées après ROUGE:</v>
      </c>
      <c r="K266" s="213"/>
      <c r="L266" s="213">
        <f>COUNTIF(C258:$C$262,"&gt;=1")</f>
        <v>4</v>
      </c>
      <c r="M266" s="213"/>
      <c r="N266" s="213"/>
      <c r="O266" s="213"/>
      <c r="P266" s="213"/>
      <c r="Q266" s="213"/>
      <c r="R266" s="212"/>
      <c r="S266" s="212"/>
      <c r="T266" s="212"/>
      <c r="U266" s="212"/>
      <c r="V266" s="212"/>
      <c r="W266" s="212"/>
      <c r="X266" s="212"/>
      <c r="Y266" s="212"/>
      <c r="Z266" s="212"/>
      <c r="AA266" s="212"/>
      <c r="AB266" s="212"/>
      <c r="AC266" s="212"/>
      <c r="AD266" s="212"/>
      <c r="AE266" s="212"/>
      <c r="AF266" s="212" t="s">
        <v>96</v>
      </c>
      <c r="AG266" s="212"/>
      <c r="AH266" s="212">
        <f>AG265-AM263</f>
        <v>0</v>
      </c>
      <c r="AI266" s="212"/>
      <c r="AJ266" s="212"/>
      <c r="AK266" s="212"/>
      <c r="AL266" s="212"/>
      <c r="AM266" s="212"/>
      <c r="AN266" s="212"/>
      <c r="AO266" s="212"/>
      <c r="AP266" s="212"/>
      <c r="AQ266" s="212"/>
    </row>
    <row r="267" spans="1:43" s="208" customFormat="1" ht="12.75">
      <c r="A267" s="220" t="str">
        <f>"Boite de : "&amp;C263&amp;" Jetons - Valeur fictive Totale de "&amp;D263&amp;" $"</f>
        <v>Boite de : 400 Jetons - Valeur fictive Totale de 11500 $</v>
      </c>
      <c r="B267" s="213"/>
      <c r="C267" s="213"/>
      <c r="D267" s="213"/>
      <c r="E267" s="213"/>
      <c r="F267" s="213"/>
      <c r="G267" s="222" t="str">
        <f aca="true" t="shared" si="97" ref="G267:G274">AQ256&amp;" "&amp;A256</f>
        <v>0 BLANC</v>
      </c>
      <c r="H267" s="222"/>
      <c r="I267" s="213"/>
      <c r="J267" s="213" t="str">
        <f t="shared" si="96"/>
        <v>Couleurs utilisées après BLEU:</v>
      </c>
      <c r="K267" s="213"/>
      <c r="L267" s="213">
        <f>COUNTIF(C259:$C$262,"&gt;=1")</f>
        <v>3</v>
      </c>
      <c r="M267" s="213"/>
      <c r="N267" s="213"/>
      <c r="O267" s="213"/>
      <c r="P267" s="213"/>
      <c r="Q267" s="213"/>
      <c r="R267" s="212"/>
      <c r="S267" s="212"/>
      <c r="T267" s="212"/>
      <c r="U267" s="212"/>
      <c r="V267" s="212"/>
      <c r="W267" s="212"/>
      <c r="X267" s="212"/>
      <c r="Y267" s="212"/>
      <c r="Z267" s="212"/>
      <c r="AA267" s="212"/>
      <c r="AB267" s="212"/>
      <c r="AC267" s="212"/>
      <c r="AD267" s="212"/>
      <c r="AE267" s="212"/>
      <c r="AF267" s="212" t="s">
        <v>113</v>
      </c>
      <c r="AG267" s="212"/>
      <c r="AH267" s="212">
        <f>AH266-AP263</f>
        <v>0</v>
      </c>
      <c r="AI267" s="212"/>
      <c r="AJ267" s="212"/>
      <c r="AK267" s="212"/>
      <c r="AL267" s="212"/>
      <c r="AM267" s="212"/>
      <c r="AN267" s="212"/>
      <c r="AO267" s="212"/>
      <c r="AP267" s="212"/>
      <c r="AQ267" s="212"/>
    </row>
    <row r="268" spans="1:43" s="208" customFormat="1" ht="12.75">
      <c r="A268" s="213"/>
      <c r="B268" s="213"/>
      <c r="C268" s="213"/>
      <c r="D268" s="213"/>
      <c r="E268" s="213"/>
      <c r="F268" s="213"/>
      <c r="G268" s="222" t="str">
        <f t="shared" si="97"/>
        <v>17 ROUGE</v>
      </c>
      <c r="H268" s="222"/>
      <c r="I268" s="213"/>
      <c r="J268" s="213" t="str">
        <f t="shared" si="96"/>
        <v>Couleurs utilisées après VERT:</v>
      </c>
      <c r="K268" s="213"/>
      <c r="L268" s="213">
        <f>COUNTIF(C260:$C$262,"&gt;=1")</f>
        <v>2</v>
      </c>
      <c r="M268" s="213"/>
      <c r="N268" s="213"/>
      <c r="O268" s="213"/>
      <c r="P268" s="213"/>
      <c r="Q268" s="213"/>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row>
    <row r="269" spans="1:43" s="208" customFormat="1" ht="12.75">
      <c r="A269" s="223" t="s">
        <v>10</v>
      </c>
      <c r="B269" s="223"/>
      <c r="C269" s="223"/>
      <c r="D269" s="220">
        <f>C27</f>
        <v>6</v>
      </c>
      <c r="E269" s="213"/>
      <c r="F269" s="213"/>
      <c r="G269" s="222" t="str">
        <f t="shared" si="97"/>
        <v>15 BLEU</v>
      </c>
      <c r="H269" s="222"/>
      <c r="I269" s="213"/>
      <c r="J269" s="213" t="str">
        <f t="shared" si="96"/>
        <v>Couleurs utilisées après JAUNE:</v>
      </c>
      <c r="K269" s="213"/>
      <c r="L269" s="213">
        <f>COUNTIF(C261:$C$262,"&gt;=1")</f>
        <v>1</v>
      </c>
      <c r="M269" s="213"/>
      <c r="N269" s="213"/>
      <c r="O269" s="213"/>
      <c r="P269" s="213"/>
      <c r="Q269" s="213"/>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row>
    <row r="270" spans="1:43" s="208" customFormat="1" ht="12.75">
      <c r="A270" s="213"/>
      <c r="B270" s="213"/>
      <c r="C270" s="213"/>
      <c r="D270" s="213"/>
      <c r="E270" s="213"/>
      <c r="F270" s="213"/>
      <c r="G270" s="222" t="str">
        <f t="shared" si="97"/>
        <v>15 VERT</v>
      </c>
      <c r="H270" s="222"/>
      <c r="I270" s="213"/>
      <c r="J270" s="213" t="str">
        <f t="shared" si="96"/>
        <v>Couleurs utilisées après NOIR:</v>
      </c>
      <c r="K270" s="213"/>
      <c r="L270" s="213">
        <f>COUNTIF(C262:$C$262,"&gt;=1")</f>
        <v>0</v>
      </c>
      <c r="M270" s="213"/>
      <c r="N270" s="213"/>
      <c r="O270" s="213"/>
      <c r="P270" s="213"/>
      <c r="Q270" s="213"/>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row>
    <row r="271" spans="1:43" s="208" customFormat="1" ht="12.75">
      <c r="A271" s="224" t="s">
        <v>11</v>
      </c>
      <c r="B271" s="224"/>
      <c r="C271" s="224"/>
      <c r="D271" s="213">
        <f>K198</f>
        <v>610</v>
      </c>
      <c r="E271" s="213"/>
      <c r="F271" s="213"/>
      <c r="G271" s="222" t="str">
        <f t="shared" si="97"/>
        <v>0 JAUNE</v>
      </c>
      <c r="H271" s="222"/>
      <c r="I271" s="213"/>
      <c r="J271" s="213" t="str">
        <f t="shared" si="96"/>
        <v>Couleurs utilisées après MAUVE:</v>
      </c>
      <c r="K271" s="213"/>
      <c r="L271" s="213">
        <v>0</v>
      </c>
      <c r="M271" s="213"/>
      <c r="N271" s="213"/>
      <c r="O271" s="213"/>
      <c r="P271" s="213"/>
      <c r="Q271" s="213"/>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row>
    <row r="272" spans="1:43" s="208" customFormat="1" ht="12.75">
      <c r="A272" s="225" t="str">
        <f>"Total à distribuer pour "&amp;D269&amp;" joueurs :"</f>
        <v>Total à distribuer pour 6 joueurs :</v>
      </c>
      <c r="B272" s="225"/>
      <c r="C272" s="225"/>
      <c r="D272" s="213">
        <f>D271*D269</f>
        <v>3660</v>
      </c>
      <c r="E272" s="213"/>
      <c r="F272" s="213"/>
      <c r="G272" s="222" t="str">
        <f t="shared" si="97"/>
        <v>0 NOIR</v>
      </c>
      <c r="H272" s="222"/>
      <c r="I272" s="213"/>
      <c r="J272" s="213"/>
      <c r="K272" s="213"/>
      <c r="L272" s="213"/>
      <c r="M272" s="213"/>
      <c r="N272" s="213"/>
      <c r="O272" s="213"/>
      <c r="P272" s="213"/>
      <c r="Q272" s="213"/>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row>
    <row r="273" spans="1:43" s="208" customFormat="1" ht="12.75">
      <c r="A273" s="213"/>
      <c r="B273" s="213"/>
      <c r="C273" s="213"/>
      <c r="D273" s="213"/>
      <c r="E273" s="213"/>
      <c r="F273" s="213"/>
      <c r="G273" s="222" t="str">
        <f t="shared" si="97"/>
        <v>0 MAUVE</v>
      </c>
      <c r="H273" s="222"/>
      <c r="I273" s="213"/>
      <c r="J273" s="213" t="s">
        <v>37</v>
      </c>
      <c r="K273" s="213"/>
      <c r="L273" s="213">
        <f>IF(D265=7,4,IF(D265=6,4,IF(D265=5,3,IF(D265=4,3,IF(D265=3,2,IF(D265=2,1,0))))))</f>
        <v>3</v>
      </c>
      <c r="M273" s="213"/>
      <c r="N273" s="213"/>
      <c r="O273" s="213"/>
      <c r="P273" s="213"/>
      <c r="Q273" s="213"/>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row>
    <row r="274" spans="1:43" s="208" customFormat="1" ht="15.75">
      <c r="A274" s="226" t="s">
        <v>39</v>
      </c>
      <c r="B274" s="226"/>
      <c r="C274" s="226"/>
      <c r="D274" s="226">
        <f>AR263</f>
        <v>610</v>
      </c>
      <c r="E274" s="213"/>
      <c r="F274" s="213"/>
      <c r="G274" s="222" t="str">
        <f t="shared" si="97"/>
        <v>47 TOTAL</v>
      </c>
      <c r="H274" s="222"/>
      <c r="I274" s="213"/>
      <c r="J274" s="213" t="s">
        <v>38</v>
      </c>
      <c r="K274" s="213"/>
      <c r="L274" s="213">
        <f>D265-L273</f>
        <v>2</v>
      </c>
      <c r="M274" s="213"/>
      <c r="N274" s="213"/>
      <c r="O274" s="213"/>
      <c r="P274" s="213"/>
      <c r="Q274" s="213"/>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row>
    <row r="275" spans="1:43" s="208" customFormat="1" ht="12.75">
      <c r="A275" s="213"/>
      <c r="B275" s="213"/>
      <c r="C275" s="213"/>
      <c r="D275" s="213"/>
      <c r="E275" s="213"/>
      <c r="F275" s="213"/>
      <c r="G275" s="213"/>
      <c r="H275" s="213"/>
      <c r="I275" s="213"/>
      <c r="J275" s="213"/>
      <c r="K275" s="213"/>
      <c r="L275" s="213"/>
      <c r="M275" s="213"/>
      <c r="N275" s="213"/>
      <c r="O275" s="213"/>
      <c r="P275" s="213"/>
      <c r="Q275" s="213"/>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row>
    <row r="276" spans="1:43" s="208" customFormat="1" ht="12.75">
      <c r="A276" s="220" t="s">
        <v>54</v>
      </c>
      <c r="B276" s="220"/>
      <c r="C276" s="220"/>
      <c r="D276" s="220">
        <f>K198-K263</f>
        <v>15</v>
      </c>
      <c r="E276" s="213"/>
      <c r="F276" s="213"/>
      <c r="G276" s="213"/>
      <c r="H276" s="213"/>
      <c r="I276" s="213"/>
      <c r="J276" s="213" t="s">
        <v>41</v>
      </c>
      <c r="K276" s="213"/>
      <c r="L276" s="213">
        <f>IF(D265=7,5,IF(D265=6,5,IF(D265=5,4,IF(D265=4,3,IF(D265=3,2,IF(D265=2,2,1))))))</f>
        <v>4</v>
      </c>
      <c r="M276" s="213"/>
      <c r="N276" s="213"/>
      <c r="O276" s="213"/>
      <c r="P276" s="213"/>
      <c r="Q276" s="213"/>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row>
    <row r="277" spans="1:43" s="208" customFormat="1" ht="12.75">
      <c r="A277" s="220" t="s">
        <v>55</v>
      </c>
      <c r="B277" s="220"/>
      <c r="C277" s="220"/>
      <c r="D277" s="220">
        <f>K198-S263</f>
        <v>0</v>
      </c>
      <c r="E277" s="213"/>
      <c r="F277" s="213"/>
      <c r="G277" s="213"/>
      <c r="H277" s="213"/>
      <c r="I277" s="213"/>
      <c r="J277" s="213" t="s">
        <v>40</v>
      </c>
      <c r="K277" s="213"/>
      <c r="L277" s="213">
        <f>D265-L276</f>
        <v>1</v>
      </c>
      <c r="M277" s="213"/>
      <c r="N277" s="213"/>
      <c r="O277" s="213"/>
      <c r="P277" s="213"/>
      <c r="Q277" s="213"/>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row>
    <row r="278" spans="1:43" s="208" customFormat="1" ht="12.75">
      <c r="A278" s="220" t="s">
        <v>58</v>
      </c>
      <c r="B278" s="213"/>
      <c r="C278" s="213"/>
      <c r="D278" s="220">
        <f>K198-W263</f>
        <v>0</v>
      </c>
      <c r="E278" s="213"/>
      <c r="F278" s="213"/>
      <c r="G278" s="213"/>
      <c r="H278" s="213"/>
      <c r="I278" s="213"/>
      <c r="J278" s="213"/>
      <c r="K278" s="213"/>
      <c r="L278" s="213"/>
      <c r="M278" s="213"/>
      <c r="N278" s="213"/>
      <c r="O278" s="213"/>
      <c r="P278" s="213"/>
      <c r="Q278" s="213"/>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row>
    <row r="279" spans="1:43" s="208" customFormat="1" ht="12.75">
      <c r="A279" s="220" t="s">
        <v>70</v>
      </c>
      <c r="B279" s="213"/>
      <c r="C279" s="213"/>
      <c r="D279" s="220">
        <f>K198-AE263</f>
        <v>0</v>
      </c>
      <c r="E279" s="213"/>
      <c r="F279" s="213"/>
      <c r="G279" s="213"/>
      <c r="H279" s="213"/>
      <c r="I279" s="213"/>
      <c r="J279" s="213"/>
      <c r="K279" s="213"/>
      <c r="L279" s="213"/>
      <c r="M279" s="213"/>
      <c r="N279" s="213"/>
      <c r="O279" s="213"/>
      <c r="P279" s="213"/>
      <c r="Q279" s="213"/>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row>
    <row r="280" spans="1:43" s="208" customFormat="1" ht="12.75">
      <c r="A280" s="213" t="s">
        <v>117</v>
      </c>
      <c r="B280" s="213"/>
      <c r="C280" s="213"/>
      <c r="D280" s="213">
        <f>K198-AR263</f>
        <v>0</v>
      </c>
      <c r="E280" s="213"/>
      <c r="F280" s="213"/>
      <c r="G280" s="213"/>
      <c r="H280" s="213"/>
      <c r="I280" s="213"/>
      <c r="J280" s="213"/>
      <c r="K280" s="213"/>
      <c r="L280" s="213"/>
      <c r="M280" s="213"/>
      <c r="N280" s="213"/>
      <c r="O280" s="213"/>
      <c r="P280" s="213"/>
      <c r="Q280" s="213"/>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row>
    <row r="281" spans="1:43" s="208" customFormat="1" ht="12.75">
      <c r="A281" s="213"/>
      <c r="B281" s="213"/>
      <c r="C281" s="213"/>
      <c r="D281" s="213"/>
      <c r="E281" s="213"/>
      <c r="F281" s="213"/>
      <c r="G281" s="213"/>
      <c r="H281" s="213"/>
      <c r="I281" s="213"/>
      <c r="J281" s="213"/>
      <c r="K281" s="213"/>
      <c r="L281" s="213"/>
      <c r="M281" s="213"/>
      <c r="N281" s="213"/>
      <c r="O281" s="213"/>
      <c r="P281" s="213"/>
      <c r="Q281" s="213"/>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row>
    <row r="282" spans="1:43" s="208" customFormat="1" ht="12.75">
      <c r="A282" s="213"/>
      <c r="B282" s="213"/>
      <c r="C282" s="213"/>
      <c r="D282" s="213"/>
      <c r="E282" s="213"/>
      <c r="F282" s="213"/>
      <c r="G282" s="213"/>
      <c r="H282" s="213"/>
      <c r="I282" s="213"/>
      <c r="J282" s="213"/>
      <c r="K282" s="213"/>
      <c r="L282" s="213"/>
      <c r="M282" s="213"/>
      <c r="N282" s="213"/>
      <c r="O282" s="213"/>
      <c r="P282" s="213"/>
      <c r="Q282" s="213"/>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212"/>
      <c r="AO282" s="212"/>
      <c r="AP282" s="212"/>
      <c r="AQ282" s="212"/>
    </row>
    <row r="283" spans="1:43" s="208" customFormat="1" ht="12.75">
      <c r="A283" s="213"/>
      <c r="B283" s="213"/>
      <c r="C283" s="213"/>
      <c r="D283" s="213"/>
      <c r="E283" s="213"/>
      <c r="F283" s="213"/>
      <c r="G283" s="213"/>
      <c r="H283" s="213"/>
      <c r="I283" s="213"/>
      <c r="J283" s="213"/>
      <c r="K283" s="213"/>
      <c r="L283" s="213"/>
      <c r="M283" s="213"/>
      <c r="N283" s="213"/>
      <c r="O283" s="213"/>
      <c r="P283" s="213"/>
      <c r="Q283" s="213"/>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row>
    <row r="284" spans="1:43" s="208" customFormat="1" ht="12.75">
      <c r="A284" s="213"/>
      <c r="B284" s="213"/>
      <c r="C284" s="213"/>
      <c r="D284" s="213"/>
      <c r="E284" s="213"/>
      <c r="F284" s="213"/>
      <c r="G284" s="213"/>
      <c r="H284" s="213"/>
      <c r="I284" s="213"/>
      <c r="J284" s="213"/>
      <c r="K284" s="213"/>
      <c r="L284" s="213"/>
      <c r="M284" s="213"/>
      <c r="N284" s="213"/>
      <c r="O284" s="213"/>
      <c r="P284" s="213"/>
      <c r="Q284" s="213"/>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row>
    <row r="285" spans="1:43" s="208" customFormat="1" ht="12.75">
      <c r="A285" s="213"/>
      <c r="B285" s="213"/>
      <c r="C285" s="213"/>
      <c r="D285" s="213"/>
      <c r="E285" s="213"/>
      <c r="F285" s="213"/>
      <c r="G285" s="213"/>
      <c r="H285" s="213"/>
      <c r="I285" s="213"/>
      <c r="J285" s="213"/>
      <c r="K285" s="213"/>
      <c r="L285" s="213"/>
      <c r="M285" s="213"/>
      <c r="N285" s="213"/>
      <c r="O285" s="213"/>
      <c r="P285" s="213"/>
      <c r="Q285" s="213"/>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212"/>
      <c r="AN285" s="212"/>
      <c r="AO285" s="212"/>
      <c r="AP285" s="212"/>
      <c r="AQ285" s="212"/>
    </row>
    <row r="286" spans="1:43" s="208" customFormat="1" ht="12.75">
      <c r="A286" s="213"/>
      <c r="B286" s="213"/>
      <c r="C286" s="213"/>
      <c r="D286" s="213"/>
      <c r="E286" s="213"/>
      <c r="F286" s="213"/>
      <c r="G286" s="213"/>
      <c r="H286" s="213"/>
      <c r="I286" s="213"/>
      <c r="J286" s="213"/>
      <c r="K286" s="213"/>
      <c r="L286" s="213"/>
      <c r="M286" s="213"/>
      <c r="N286" s="213"/>
      <c r="O286" s="213"/>
      <c r="P286" s="213"/>
      <c r="Q286" s="213"/>
      <c r="R286" s="212"/>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c r="AN286" s="212"/>
      <c r="AO286" s="212"/>
      <c r="AP286" s="212"/>
      <c r="AQ286" s="212"/>
    </row>
    <row r="287" spans="1:43" s="208" customFormat="1" ht="12.75">
      <c r="A287" s="213"/>
      <c r="B287" s="213"/>
      <c r="C287" s="213"/>
      <c r="D287" s="213"/>
      <c r="E287" s="213"/>
      <c r="F287" s="213"/>
      <c r="G287" s="213"/>
      <c r="H287" s="213"/>
      <c r="I287" s="213"/>
      <c r="J287" s="213"/>
      <c r="K287" s="213"/>
      <c r="L287" s="213"/>
      <c r="M287" s="213"/>
      <c r="N287" s="213"/>
      <c r="O287" s="213"/>
      <c r="P287" s="213"/>
      <c r="Q287" s="213"/>
      <c r="R287" s="212"/>
      <c r="S287" s="212"/>
      <c r="T287" s="212"/>
      <c r="U287" s="212"/>
      <c r="V287" s="212"/>
      <c r="W287" s="212"/>
      <c r="X287" s="212"/>
      <c r="Y287" s="212"/>
      <c r="Z287" s="212"/>
      <c r="AA287" s="212"/>
      <c r="AB287" s="212"/>
      <c r="AC287" s="212"/>
      <c r="AD287" s="212"/>
      <c r="AE287" s="212"/>
      <c r="AF287" s="212"/>
      <c r="AG287" s="212"/>
      <c r="AH287" s="212"/>
      <c r="AI287" s="212"/>
      <c r="AJ287" s="212"/>
      <c r="AK287" s="212"/>
      <c r="AL287" s="212"/>
      <c r="AM287" s="212"/>
      <c r="AN287" s="212"/>
      <c r="AO287" s="212"/>
      <c r="AP287" s="212"/>
      <c r="AQ287" s="212"/>
    </row>
    <row r="288" spans="1:43" s="208" customFormat="1" ht="12.75">
      <c r="A288" s="213"/>
      <c r="B288" s="213"/>
      <c r="C288" s="213"/>
      <c r="D288" s="213"/>
      <c r="E288" s="213"/>
      <c r="F288" s="213"/>
      <c r="G288" s="213"/>
      <c r="H288" s="213"/>
      <c r="I288" s="213"/>
      <c r="J288" s="213"/>
      <c r="K288" s="213"/>
      <c r="L288" s="213"/>
      <c r="M288" s="213"/>
      <c r="N288" s="213"/>
      <c r="O288" s="213"/>
      <c r="P288" s="213"/>
      <c r="Q288" s="213"/>
      <c r="R288" s="212"/>
      <c r="S288" s="212"/>
      <c r="T288" s="212"/>
      <c r="U288" s="212"/>
      <c r="V288" s="212"/>
      <c r="W288" s="212"/>
      <c r="X288" s="212"/>
      <c r="Y288" s="212"/>
      <c r="Z288" s="212"/>
      <c r="AA288" s="212"/>
      <c r="AB288" s="212"/>
      <c r="AC288" s="212"/>
      <c r="AD288" s="212"/>
      <c r="AE288" s="212"/>
      <c r="AF288" s="212"/>
      <c r="AG288" s="212"/>
      <c r="AH288" s="212"/>
      <c r="AI288" s="212"/>
      <c r="AJ288" s="212"/>
      <c r="AK288" s="212"/>
      <c r="AL288" s="212"/>
      <c r="AM288" s="212"/>
      <c r="AN288" s="212"/>
      <c r="AO288" s="212"/>
      <c r="AP288" s="212"/>
      <c r="AQ288" s="212"/>
    </row>
    <row r="289" spans="1:43" s="208" customFormat="1" ht="12.75">
      <c r="A289" s="213"/>
      <c r="B289" s="213"/>
      <c r="C289" s="213"/>
      <c r="D289" s="213"/>
      <c r="E289" s="213"/>
      <c r="F289" s="213"/>
      <c r="G289" s="213"/>
      <c r="H289" s="213"/>
      <c r="I289" s="213"/>
      <c r="J289" s="213"/>
      <c r="K289" s="213"/>
      <c r="L289" s="213"/>
      <c r="M289" s="213"/>
      <c r="N289" s="213"/>
      <c r="O289" s="213"/>
      <c r="P289" s="213"/>
      <c r="Q289" s="213"/>
      <c r="R289" s="212"/>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c r="AN289" s="212"/>
      <c r="AO289" s="212"/>
      <c r="AP289" s="212"/>
      <c r="AQ289" s="212"/>
    </row>
    <row r="290" spans="1:43" s="208" customFormat="1" ht="12.75">
      <c r="A290" s="213"/>
      <c r="B290" s="213"/>
      <c r="C290" s="213"/>
      <c r="D290" s="213"/>
      <c r="E290" s="213"/>
      <c r="F290" s="213"/>
      <c r="G290" s="213"/>
      <c r="H290" s="213"/>
      <c r="I290" s="213"/>
      <c r="J290" s="213"/>
      <c r="K290" s="213"/>
      <c r="L290" s="213"/>
      <c r="M290" s="213"/>
      <c r="N290" s="213"/>
      <c r="O290" s="213"/>
      <c r="P290" s="213"/>
      <c r="Q290" s="213"/>
      <c r="R290" s="212"/>
      <c r="S290" s="212"/>
      <c r="T290" s="212"/>
      <c r="U290" s="212"/>
      <c r="V290" s="212"/>
      <c r="W290" s="212"/>
      <c r="X290" s="212"/>
      <c r="Y290" s="212"/>
      <c r="Z290" s="212"/>
      <c r="AA290" s="212"/>
      <c r="AB290" s="212"/>
      <c r="AC290" s="212"/>
      <c r="AD290" s="212"/>
      <c r="AE290" s="212"/>
      <c r="AF290" s="212"/>
      <c r="AG290" s="212"/>
      <c r="AH290" s="212"/>
      <c r="AI290" s="212"/>
      <c r="AJ290" s="212"/>
      <c r="AK290" s="212"/>
      <c r="AL290" s="212"/>
      <c r="AM290" s="212"/>
      <c r="AN290" s="212"/>
      <c r="AO290" s="212"/>
      <c r="AP290" s="212"/>
      <c r="AQ290" s="212"/>
    </row>
    <row r="291" spans="1:43" s="208" customFormat="1" ht="12.75">
      <c r="A291" s="213"/>
      <c r="B291" s="213"/>
      <c r="C291" s="213"/>
      <c r="D291" s="213"/>
      <c r="E291" s="213"/>
      <c r="F291" s="213"/>
      <c r="G291" s="213"/>
      <c r="H291" s="213"/>
      <c r="I291" s="213"/>
      <c r="J291" s="213" t="s">
        <v>23</v>
      </c>
      <c r="K291" s="213"/>
      <c r="L291" s="213"/>
      <c r="M291" s="213"/>
      <c r="N291" s="213"/>
      <c r="O291" s="213"/>
      <c r="P291" s="213"/>
      <c r="Q291" s="213"/>
      <c r="R291" s="212"/>
      <c r="S291" s="212"/>
      <c r="T291" s="212"/>
      <c r="U291" s="212"/>
      <c r="V291" s="212"/>
      <c r="W291" s="212"/>
      <c r="X291" s="212"/>
      <c r="Y291" s="212"/>
      <c r="Z291" s="212"/>
      <c r="AA291" s="212"/>
      <c r="AB291" s="212"/>
      <c r="AC291" s="212"/>
      <c r="AD291" s="212"/>
      <c r="AE291" s="212"/>
      <c r="AF291" s="212"/>
      <c r="AG291" s="212"/>
      <c r="AH291" s="212"/>
      <c r="AI291" s="212"/>
      <c r="AJ291" s="212"/>
      <c r="AK291" s="212"/>
      <c r="AL291" s="212"/>
      <c r="AM291" s="212"/>
      <c r="AN291" s="212"/>
      <c r="AO291" s="212"/>
      <c r="AP291" s="212"/>
      <c r="AQ291" s="212"/>
    </row>
    <row r="292" spans="1:43" s="208" customFormat="1" ht="12.75">
      <c r="A292" s="213"/>
      <c r="B292" s="213"/>
      <c r="C292" s="213"/>
      <c r="D292" s="213"/>
      <c r="E292" s="213"/>
      <c r="F292" s="213"/>
      <c r="G292" s="213"/>
      <c r="H292" s="213"/>
      <c r="I292" s="213"/>
      <c r="J292" s="213" t="s">
        <v>24</v>
      </c>
      <c r="K292" s="213"/>
      <c r="L292" s="213"/>
      <c r="M292" s="213"/>
      <c r="N292" s="213"/>
      <c r="O292" s="213"/>
      <c r="P292" s="213"/>
      <c r="Q292" s="213"/>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row>
    <row r="293" spans="1:43" s="208" customFormat="1" ht="12.75">
      <c r="A293" s="213"/>
      <c r="B293" s="213"/>
      <c r="C293" s="213"/>
      <c r="D293" s="213"/>
      <c r="E293" s="213"/>
      <c r="F293" s="213"/>
      <c r="G293" s="213"/>
      <c r="H293" s="213"/>
      <c r="I293" s="213"/>
      <c r="J293" s="213" t="s">
        <v>25</v>
      </c>
      <c r="K293" s="213"/>
      <c r="L293" s="213"/>
      <c r="M293" s="213"/>
      <c r="N293" s="213"/>
      <c r="O293" s="213"/>
      <c r="P293" s="213"/>
      <c r="Q293" s="213"/>
      <c r="R293" s="212"/>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c r="AN293" s="212"/>
      <c r="AO293" s="212"/>
      <c r="AP293" s="212"/>
      <c r="AQ293" s="212"/>
    </row>
    <row r="294" spans="1:43" s="208" customFormat="1" ht="12.75">
      <c r="A294" s="213"/>
      <c r="B294" s="213"/>
      <c r="C294" s="213"/>
      <c r="D294" s="213"/>
      <c r="E294" s="213"/>
      <c r="F294" s="213"/>
      <c r="G294" s="213"/>
      <c r="H294" s="213"/>
      <c r="I294" s="213"/>
      <c r="J294" s="213"/>
      <c r="K294" s="213"/>
      <c r="L294" s="213"/>
      <c r="M294" s="213"/>
      <c r="N294" s="213"/>
      <c r="O294" s="213"/>
      <c r="P294" s="213"/>
      <c r="Q294" s="213"/>
      <c r="R294" s="212"/>
      <c r="S294" s="212"/>
      <c r="T294" s="212"/>
      <c r="U294" s="212"/>
      <c r="V294" s="212"/>
      <c r="W294" s="212"/>
      <c r="X294" s="212"/>
      <c r="Y294" s="212"/>
      <c r="Z294" s="212"/>
      <c r="AA294" s="212"/>
      <c r="AB294" s="212"/>
      <c r="AC294" s="212"/>
      <c r="AD294" s="212"/>
      <c r="AE294" s="212"/>
      <c r="AF294" s="212"/>
      <c r="AG294" s="212"/>
      <c r="AH294" s="212"/>
      <c r="AI294" s="212"/>
      <c r="AJ294" s="212"/>
      <c r="AK294" s="212"/>
      <c r="AL294" s="212"/>
      <c r="AM294" s="212"/>
      <c r="AN294" s="212"/>
      <c r="AO294" s="212"/>
      <c r="AP294" s="212"/>
      <c r="AQ294" s="212"/>
    </row>
    <row r="295" spans="1:43" s="208" customFormat="1" ht="12.75">
      <c r="A295" s="213"/>
      <c r="B295" s="213"/>
      <c r="C295" s="213"/>
      <c r="D295" s="213"/>
      <c r="E295" s="213"/>
      <c r="F295" s="213"/>
      <c r="G295" s="213"/>
      <c r="H295" s="213"/>
      <c r="I295" s="213"/>
      <c r="J295" s="213" t="s">
        <v>32</v>
      </c>
      <c r="K295" s="213"/>
      <c r="L295" s="213"/>
      <c r="M295" s="213"/>
      <c r="N295" s="213"/>
      <c r="O295" s="213"/>
      <c r="P295" s="213"/>
      <c r="Q295" s="213"/>
      <c r="R295" s="212"/>
      <c r="S295" s="212"/>
      <c r="T295" s="212"/>
      <c r="U295" s="212"/>
      <c r="V295" s="212"/>
      <c r="W295" s="212"/>
      <c r="X295" s="212"/>
      <c r="Y295" s="212"/>
      <c r="Z295" s="212"/>
      <c r="AA295" s="212"/>
      <c r="AB295" s="212"/>
      <c r="AC295" s="212"/>
      <c r="AD295" s="212"/>
      <c r="AE295" s="212"/>
      <c r="AF295" s="212"/>
      <c r="AG295" s="212"/>
      <c r="AH295" s="212"/>
      <c r="AI295" s="212"/>
      <c r="AJ295" s="212"/>
      <c r="AK295" s="212"/>
      <c r="AL295" s="212"/>
      <c r="AM295" s="212"/>
      <c r="AN295" s="212"/>
      <c r="AO295" s="212"/>
      <c r="AP295" s="212"/>
      <c r="AQ295" s="212"/>
    </row>
    <row r="296" spans="1:43" s="208" customFormat="1" ht="12.75">
      <c r="A296" s="213"/>
      <c r="B296" s="213"/>
      <c r="C296" s="213"/>
      <c r="D296" s="213"/>
      <c r="E296" s="213"/>
      <c r="F296" s="213"/>
      <c r="G296" s="213"/>
      <c r="H296" s="213"/>
      <c r="I296" s="213"/>
      <c r="J296" s="213" t="s">
        <v>26</v>
      </c>
      <c r="K296" s="213"/>
      <c r="L296" s="213"/>
      <c r="M296" s="213"/>
      <c r="N296" s="213"/>
      <c r="O296" s="213"/>
      <c r="P296" s="213"/>
      <c r="Q296" s="213"/>
      <c r="R296" s="212"/>
      <c r="S296" s="212"/>
      <c r="T296" s="212"/>
      <c r="U296" s="212"/>
      <c r="V296" s="212"/>
      <c r="W296" s="212"/>
      <c r="X296" s="212"/>
      <c r="Y296" s="212"/>
      <c r="Z296" s="212"/>
      <c r="AA296" s="212"/>
      <c r="AB296" s="212"/>
      <c r="AC296" s="212"/>
      <c r="AD296" s="212"/>
      <c r="AE296" s="212"/>
      <c r="AF296" s="212"/>
      <c r="AG296" s="212"/>
      <c r="AH296" s="212"/>
      <c r="AI296" s="212"/>
      <c r="AJ296" s="212"/>
      <c r="AK296" s="212"/>
      <c r="AL296" s="212"/>
      <c r="AM296" s="212"/>
      <c r="AN296" s="212"/>
      <c r="AO296" s="212"/>
      <c r="AP296" s="212"/>
      <c r="AQ296" s="212"/>
    </row>
    <row r="297" spans="1:43" s="208" customFormat="1" ht="12.75">
      <c r="A297" s="213"/>
      <c r="B297" s="213"/>
      <c r="C297" s="213"/>
      <c r="D297" s="213"/>
      <c r="E297" s="213"/>
      <c r="F297" s="213"/>
      <c r="G297" s="213"/>
      <c r="H297" s="213"/>
      <c r="I297" s="213"/>
      <c r="J297" s="213"/>
      <c r="K297" s="213"/>
      <c r="L297" s="213"/>
      <c r="M297" s="213"/>
      <c r="N297" s="213"/>
      <c r="O297" s="213"/>
      <c r="P297" s="213"/>
      <c r="Q297" s="213"/>
      <c r="R297" s="212"/>
      <c r="S297" s="212"/>
      <c r="T297" s="212"/>
      <c r="U297" s="212"/>
      <c r="V297" s="212"/>
      <c r="W297" s="212"/>
      <c r="X297" s="212"/>
      <c r="Y297" s="212"/>
      <c r="Z297" s="212"/>
      <c r="AA297" s="212"/>
      <c r="AB297" s="212"/>
      <c r="AC297" s="212"/>
      <c r="AD297" s="212"/>
      <c r="AE297" s="212"/>
      <c r="AF297" s="212"/>
      <c r="AG297" s="212"/>
      <c r="AH297" s="212"/>
      <c r="AI297" s="212"/>
      <c r="AJ297" s="212"/>
      <c r="AK297" s="212"/>
      <c r="AL297" s="212"/>
      <c r="AM297" s="212"/>
      <c r="AN297" s="212"/>
      <c r="AO297" s="212"/>
      <c r="AP297" s="212"/>
      <c r="AQ297" s="212"/>
    </row>
    <row r="298" spans="1:43" s="208" customFormat="1" ht="12.75">
      <c r="A298" s="213"/>
      <c r="B298" s="213"/>
      <c r="C298" s="213"/>
      <c r="D298" s="213"/>
      <c r="E298" s="213"/>
      <c r="F298" s="213"/>
      <c r="G298" s="213"/>
      <c r="H298" s="213"/>
      <c r="I298" s="213"/>
      <c r="J298" s="213"/>
      <c r="K298" s="213"/>
      <c r="L298" s="213"/>
      <c r="M298" s="213"/>
      <c r="N298" s="213"/>
      <c r="O298" s="213"/>
      <c r="P298" s="213"/>
      <c r="Q298" s="213"/>
      <c r="R298" s="212"/>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c r="AN298" s="212"/>
      <c r="AO298" s="212"/>
      <c r="AP298" s="212"/>
      <c r="AQ298" s="212"/>
    </row>
    <row r="299" spans="1:43" s="208" customFormat="1" ht="12.75">
      <c r="A299" s="213"/>
      <c r="B299" s="213"/>
      <c r="C299" s="213"/>
      <c r="D299" s="213"/>
      <c r="E299" s="213"/>
      <c r="F299" s="213"/>
      <c r="G299" s="213"/>
      <c r="H299" s="213"/>
      <c r="I299" s="213"/>
      <c r="J299" s="213"/>
      <c r="K299" s="213"/>
      <c r="L299" s="213"/>
      <c r="M299" s="213"/>
      <c r="N299" s="213"/>
      <c r="O299" s="213"/>
      <c r="P299" s="213"/>
      <c r="Q299" s="213"/>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c r="AN299" s="212"/>
      <c r="AO299" s="212"/>
      <c r="AP299" s="212"/>
      <c r="AQ299" s="212"/>
    </row>
    <row r="300" spans="1:43" s="208" customFormat="1" ht="12.75">
      <c r="A300" s="213"/>
      <c r="B300" s="213"/>
      <c r="C300" s="213"/>
      <c r="D300" s="213"/>
      <c r="E300" s="213"/>
      <c r="F300" s="213"/>
      <c r="G300" s="213"/>
      <c r="H300" s="213"/>
      <c r="I300" s="213"/>
      <c r="J300" s="213"/>
      <c r="K300" s="213"/>
      <c r="L300" s="213"/>
      <c r="M300" s="213"/>
      <c r="N300" s="213"/>
      <c r="O300" s="213"/>
      <c r="P300" s="213"/>
      <c r="Q300" s="213"/>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row>
    <row r="301" spans="1:43" s="208" customFormat="1" ht="12.75">
      <c r="A301" s="213"/>
      <c r="B301" s="213"/>
      <c r="C301" s="213"/>
      <c r="D301" s="213"/>
      <c r="E301" s="213"/>
      <c r="F301" s="213"/>
      <c r="G301" s="213"/>
      <c r="H301" s="213"/>
      <c r="I301" s="213"/>
      <c r="J301" s="213"/>
      <c r="K301" s="213"/>
      <c r="L301" s="213"/>
      <c r="M301" s="213"/>
      <c r="N301" s="213"/>
      <c r="O301" s="213"/>
      <c r="P301" s="213"/>
      <c r="Q301" s="213"/>
      <c r="R301" s="212"/>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c r="AN301" s="212"/>
      <c r="AO301" s="212"/>
      <c r="AP301" s="212"/>
      <c r="AQ301" s="212"/>
    </row>
    <row r="302" spans="1:43" s="208" customFormat="1" ht="12.75">
      <c r="A302" s="213"/>
      <c r="B302" s="213"/>
      <c r="C302" s="213"/>
      <c r="D302" s="213"/>
      <c r="E302" s="213"/>
      <c r="F302" s="213"/>
      <c r="G302" s="213"/>
      <c r="H302" s="213"/>
      <c r="I302" s="213"/>
      <c r="J302" s="213"/>
      <c r="K302" s="213"/>
      <c r="L302" s="213"/>
      <c r="M302" s="213"/>
      <c r="N302" s="213"/>
      <c r="O302" s="213"/>
      <c r="P302" s="213"/>
      <c r="Q302" s="213"/>
      <c r="R302" s="212"/>
      <c r="S302" s="212"/>
      <c r="T302" s="212"/>
      <c r="U302" s="212"/>
      <c r="V302" s="212"/>
      <c r="W302" s="212"/>
      <c r="X302" s="212"/>
      <c r="Y302" s="212"/>
      <c r="Z302" s="212"/>
      <c r="AA302" s="212"/>
      <c r="AB302" s="212"/>
      <c r="AC302" s="212"/>
      <c r="AD302" s="212"/>
      <c r="AE302" s="212"/>
      <c r="AF302" s="212"/>
      <c r="AG302" s="212"/>
      <c r="AH302" s="212"/>
      <c r="AI302" s="212"/>
      <c r="AJ302" s="212"/>
      <c r="AK302" s="212"/>
      <c r="AL302" s="212"/>
      <c r="AM302" s="212"/>
      <c r="AN302" s="212"/>
      <c r="AO302" s="212"/>
      <c r="AP302" s="212"/>
      <c r="AQ302" s="212"/>
    </row>
    <row r="303" spans="1:43" s="208" customFormat="1" ht="12.75">
      <c r="A303" s="213"/>
      <c r="B303" s="213"/>
      <c r="C303" s="213"/>
      <c r="D303" s="213"/>
      <c r="E303" s="213"/>
      <c r="F303" s="213"/>
      <c r="G303" s="213"/>
      <c r="H303" s="213"/>
      <c r="I303" s="213"/>
      <c r="J303" s="213"/>
      <c r="K303" s="213"/>
      <c r="L303" s="213"/>
      <c r="M303" s="213"/>
      <c r="N303" s="213"/>
      <c r="O303" s="213"/>
      <c r="P303" s="213"/>
      <c r="Q303" s="213"/>
      <c r="R303" s="212"/>
      <c r="S303" s="212"/>
      <c r="T303" s="212"/>
      <c r="U303" s="212"/>
      <c r="V303" s="212"/>
      <c r="W303" s="212"/>
      <c r="X303" s="212"/>
      <c r="Y303" s="212"/>
      <c r="Z303" s="212"/>
      <c r="AA303" s="212"/>
      <c r="AB303" s="212"/>
      <c r="AC303" s="212"/>
      <c r="AD303" s="212"/>
      <c r="AE303" s="212"/>
      <c r="AF303" s="212"/>
      <c r="AG303" s="212"/>
      <c r="AH303" s="212"/>
      <c r="AI303" s="212"/>
      <c r="AJ303" s="212"/>
      <c r="AK303" s="212"/>
      <c r="AL303" s="212"/>
      <c r="AM303" s="212"/>
      <c r="AN303" s="212"/>
      <c r="AO303" s="212"/>
      <c r="AP303" s="212"/>
      <c r="AQ303" s="212"/>
    </row>
    <row r="304" spans="1:43" s="208" customFormat="1" ht="12.75">
      <c r="A304" s="213"/>
      <c r="B304" s="213"/>
      <c r="C304" s="213"/>
      <c r="D304" s="213"/>
      <c r="E304" s="213"/>
      <c r="F304" s="213"/>
      <c r="G304" s="213"/>
      <c r="H304" s="213"/>
      <c r="I304" s="213"/>
      <c r="J304" s="213"/>
      <c r="K304" s="213"/>
      <c r="L304" s="213"/>
      <c r="M304" s="213"/>
      <c r="N304" s="213"/>
      <c r="O304" s="213"/>
      <c r="P304" s="213"/>
      <c r="Q304" s="213"/>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2"/>
      <c r="AN304" s="212"/>
      <c r="AO304" s="212"/>
      <c r="AP304" s="212"/>
      <c r="AQ304" s="212"/>
    </row>
    <row r="305" spans="1:43" s="208" customFormat="1" ht="12.75">
      <c r="A305" s="213"/>
      <c r="B305" s="213"/>
      <c r="C305" s="213"/>
      <c r="D305" s="213"/>
      <c r="E305" s="213"/>
      <c r="F305" s="213"/>
      <c r="G305" s="213"/>
      <c r="H305" s="213"/>
      <c r="I305" s="213"/>
      <c r="J305" s="213"/>
      <c r="K305" s="213"/>
      <c r="L305" s="213"/>
      <c r="M305" s="213"/>
      <c r="N305" s="213"/>
      <c r="O305" s="213"/>
      <c r="P305" s="213"/>
      <c r="Q305" s="213"/>
      <c r="R305" s="212"/>
      <c r="S305" s="212"/>
      <c r="T305" s="212"/>
      <c r="U305" s="212"/>
      <c r="V305" s="212"/>
      <c r="W305" s="212"/>
      <c r="X305" s="212"/>
      <c r="Y305" s="212"/>
      <c r="Z305" s="212"/>
      <c r="AA305" s="212"/>
      <c r="AB305" s="212"/>
      <c r="AC305" s="212"/>
      <c r="AD305" s="212"/>
      <c r="AE305" s="212"/>
      <c r="AF305" s="212"/>
      <c r="AG305" s="212"/>
      <c r="AH305" s="212"/>
      <c r="AI305" s="212"/>
      <c r="AJ305" s="212"/>
      <c r="AK305" s="212"/>
      <c r="AL305" s="212"/>
      <c r="AM305" s="212"/>
      <c r="AN305" s="212"/>
      <c r="AO305" s="212"/>
      <c r="AP305" s="212"/>
      <c r="AQ305" s="212"/>
    </row>
    <row r="306" spans="1:43" s="208" customFormat="1" ht="18">
      <c r="A306" s="228" t="s">
        <v>77</v>
      </c>
      <c r="B306" s="228"/>
      <c r="C306" s="228"/>
      <c r="D306" s="228"/>
      <c r="E306" s="228"/>
      <c r="F306" s="228"/>
      <c r="G306" s="228"/>
      <c r="H306" s="228"/>
      <c r="I306" s="228" t="s">
        <v>77</v>
      </c>
      <c r="J306" s="228"/>
      <c r="K306" s="228"/>
      <c r="L306" s="228"/>
      <c r="M306" s="228"/>
      <c r="N306" s="228"/>
      <c r="O306" s="228"/>
      <c r="P306" s="228" t="s">
        <v>77</v>
      </c>
      <c r="Q306" s="228"/>
      <c r="R306" s="228"/>
      <c r="S306" s="228"/>
      <c r="T306" s="228"/>
      <c r="U306" s="228"/>
      <c r="V306" s="228"/>
      <c r="W306" s="228"/>
      <c r="X306" s="212"/>
      <c r="Y306" s="212"/>
      <c r="Z306" s="212"/>
      <c r="AA306" s="212"/>
      <c r="AB306" s="212"/>
      <c r="AC306" s="212"/>
      <c r="AD306" s="212"/>
      <c r="AE306" s="212"/>
      <c r="AF306" s="212"/>
      <c r="AG306" s="212"/>
      <c r="AH306" s="212"/>
      <c r="AI306" s="212"/>
      <c r="AJ306" s="212"/>
      <c r="AK306" s="212"/>
      <c r="AL306" s="212"/>
      <c r="AM306" s="212"/>
      <c r="AN306" s="212"/>
      <c r="AO306" s="212"/>
      <c r="AP306" s="212"/>
      <c r="AQ306" s="212"/>
    </row>
    <row r="307" spans="1:43" s="208" customFormat="1" ht="12.75">
      <c r="A307" s="213"/>
      <c r="B307" s="213"/>
      <c r="C307" s="213"/>
      <c r="D307" s="213"/>
      <c r="E307" s="213"/>
      <c r="F307" s="213"/>
      <c r="G307" s="213"/>
      <c r="H307" s="213"/>
      <c r="I307" s="213"/>
      <c r="J307" s="213"/>
      <c r="K307" s="213"/>
      <c r="L307" s="213"/>
      <c r="M307" s="213"/>
      <c r="N307" s="213"/>
      <c r="O307" s="213"/>
      <c r="P307" s="213"/>
      <c r="Q307" s="213"/>
      <c r="R307" s="212"/>
      <c r="S307" s="212"/>
      <c r="T307" s="212"/>
      <c r="U307" s="212"/>
      <c r="V307" s="212"/>
      <c r="W307" s="212"/>
      <c r="X307" s="212"/>
      <c r="Y307" s="212"/>
      <c r="Z307" s="212"/>
      <c r="AA307" s="212"/>
      <c r="AB307" s="212"/>
      <c r="AC307" s="212"/>
      <c r="AD307" s="212"/>
      <c r="AE307" s="212"/>
      <c r="AF307" s="212"/>
      <c r="AG307" s="212"/>
      <c r="AH307" s="212"/>
      <c r="AI307" s="212"/>
      <c r="AJ307" s="212"/>
      <c r="AK307" s="212"/>
      <c r="AL307" s="212"/>
      <c r="AM307" s="212"/>
      <c r="AN307" s="212"/>
      <c r="AO307" s="212"/>
      <c r="AP307" s="212"/>
      <c r="AQ307" s="212"/>
    </row>
    <row r="308" spans="1:43" s="208" customFormat="1" ht="12.75">
      <c r="A308" s="213"/>
      <c r="B308" s="213"/>
      <c r="C308" s="213"/>
      <c r="D308" s="213"/>
      <c r="E308" s="213"/>
      <c r="F308" s="213"/>
      <c r="G308" s="213"/>
      <c r="H308" s="213"/>
      <c r="I308" s="213"/>
      <c r="J308" s="213"/>
      <c r="K308" s="213"/>
      <c r="L308" s="213"/>
      <c r="M308" s="213"/>
      <c r="N308" s="213"/>
      <c r="O308" s="213"/>
      <c r="P308" s="213"/>
      <c r="Q308" s="213"/>
      <c r="R308" s="212"/>
      <c r="S308" s="212"/>
      <c r="T308" s="212"/>
      <c r="U308" s="212"/>
      <c r="V308" s="212"/>
      <c r="W308" s="212"/>
      <c r="X308" s="212"/>
      <c r="Y308" s="212"/>
      <c r="Z308" s="212"/>
      <c r="AA308" s="212"/>
      <c r="AB308" s="212"/>
      <c r="AC308" s="212"/>
      <c r="AD308" s="212"/>
      <c r="AE308" s="212"/>
      <c r="AF308" s="212"/>
      <c r="AG308" s="212"/>
      <c r="AH308" s="212"/>
      <c r="AI308" s="212"/>
      <c r="AJ308" s="212"/>
      <c r="AK308" s="212"/>
      <c r="AL308" s="212"/>
      <c r="AM308" s="212"/>
      <c r="AN308" s="212"/>
      <c r="AO308" s="212"/>
      <c r="AP308" s="212"/>
      <c r="AQ308" s="212"/>
    </row>
    <row r="309" spans="1:43" s="208" customFormat="1" ht="12.75">
      <c r="A309" s="213"/>
      <c r="B309" s="213"/>
      <c r="C309" s="213"/>
      <c r="D309" s="213"/>
      <c r="E309" s="213"/>
      <c r="F309" s="213"/>
      <c r="G309" s="213"/>
      <c r="H309" s="213"/>
      <c r="I309" s="213"/>
      <c r="J309" s="213"/>
      <c r="K309" s="213"/>
      <c r="L309" s="213"/>
      <c r="M309" s="213"/>
      <c r="N309" s="213"/>
      <c r="O309" s="213"/>
      <c r="P309" s="213"/>
      <c r="Q309" s="213"/>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row>
    <row r="310" spans="1:43" s="208" customFormat="1" ht="15.75">
      <c r="A310" s="226" t="s">
        <v>20</v>
      </c>
      <c r="B310" s="226"/>
      <c r="C310" s="226"/>
      <c r="D310" s="226">
        <f>K198</f>
        <v>610</v>
      </c>
      <c r="E310" s="213"/>
      <c r="F310" s="213"/>
      <c r="G310" s="213"/>
      <c r="H310" s="213"/>
      <c r="I310" s="213"/>
      <c r="J310" s="213"/>
      <c r="K310" s="213"/>
      <c r="L310" s="213"/>
      <c r="M310" s="213"/>
      <c r="N310" s="213"/>
      <c r="O310" s="213"/>
      <c r="P310" s="213"/>
      <c r="Q310" s="213"/>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row>
    <row r="311" spans="1:43" s="208" customFormat="1" ht="12.75">
      <c r="A311" s="213"/>
      <c r="B311" s="213"/>
      <c r="C311" s="213"/>
      <c r="D311" s="213"/>
      <c r="E311" s="213"/>
      <c r="F311" s="213"/>
      <c r="G311" s="213"/>
      <c r="H311" s="213"/>
      <c r="I311" s="213"/>
      <c r="J311" s="213"/>
      <c r="K311" s="213"/>
      <c r="L311" s="213"/>
      <c r="M311" s="213"/>
      <c r="N311" s="213"/>
      <c r="O311" s="213"/>
      <c r="P311" s="213"/>
      <c r="Q311" s="213"/>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row>
    <row r="312" spans="1:43" s="208" customFormat="1" ht="12.75">
      <c r="A312" s="213"/>
      <c r="B312" s="213"/>
      <c r="C312" s="213"/>
      <c r="D312" s="213"/>
      <c r="E312" s="213"/>
      <c r="F312" s="213"/>
      <c r="G312" s="213"/>
      <c r="H312" s="213"/>
      <c r="I312" s="213"/>
      <c r="J312" s="213"/>
      <c r="K312" s="213"/>
      <c r="L312" s="213"/>
      <c r="M312" s="213"/>
      <c r="N312" s="213"/>
      <c r="O312" s="213"/>
      <c r="P312" s="213"/>
      <c r="Q312" s="213"/>
      <c r="R312" s="212"/>
      <c r="S312" s="212"/>
      <c r="T312" s="212"/>
      <c r="U312" s="212"/>
      <c r="V312" s="212"/>
      <c r="W312" s="212"/>
      <c r="X312" s="212"/>
      <c r="Y312" s="212"/>
      <c r="Z312" s="212"/>
      <c r="AA312" s="212"/>
      <c r="AB312" s="212"/>
      <c r="AC312" s="212"/>
      <c r="AD312" s="212"/>
      <c r="AE312" s="212"/>
      <c r="AF312" s="212"/>
      <c r="AG312" s="212"/>
      <c r="AH312" s="212"/>
      <c r="AI312" s="212"/>
      <c r="AJ312" s="212"/>
      <c r="AK312" s="212"/>
      <c r="AL312" s="212"/>
      <c r="AM312" s="212"/>
      <c r="AN312" s="212"/>
      <c r="AO312" s="212"/>
      <c r="AP312" s="212"/>
      <c r="AQ312" s="212"/>
    </row>
    <row r="313" spans="1:43" s="208" customFormat="1" ht="15">
      <c r="A313" s="229" t="s">
        <v>74</v>
      </c>
      <c r="B313" s="213"/>
      <c r="C313" s="213"/>
      <c r="D313" s="213"/>
      <c r="E313" s="213"/>
      <c r="F313" s="213"/>
      <c r="G313" s="213"/>
      <c r="H313" s="213"/>
      <c r="I313" s="213"/>
      <c r="J313" s="213"/>
      <c r="K313" s="213"/>
      <c r="L313" s="213"/>
      <c r="M313" s="213"/>
      <c r="N313" s="213"/>
      <c r="O313" s="213"/>
      <c r="P313" s="213"/>
      <c r="Q313" s="213"/>
      <c r="R313" s="212"/>
      <c r="S313" s="212"/>
      <c r="T313" s="212"/>
      <c r="U313" s="212"/>
      <c r="V313" s="212"/>
      <c r="W313" s="212"/>
      <c r="X313" s="212"/>
      <c r="Y313" s="212"/>
      <c r="Z313" s="212"/>
      <c r="AA313" s="212"/>
      <c r="AB313" s="212"/>
      <c r="AC313" s="212"/>
      <c r="AD313" s="212"/>
      <c r="AE313" s="212"/>
      <c r="AF313" s="212"/>
      <c r="AG313" s="212"/>
      <c r="AH313" s="212"/>
      <c r="AI313" s="212"/>
      <c r="AJ313" s="212"/>
      <c r="AK313" s="212"/>
      <c r="AL313" s="212"/>
      <c r="AM313" s="212"/>
      <c r="AN313" s="212"/>
      <c r="AO313" s="212"/>
      <c r="AP313" s="212"/>
      <c r="AQ313" s="212"/>
    </row>
    <row r="314" spans="1:49" s="208" customFormat="1" ht="12.75">
      <c r="A314" s="216" t="s">
        <v>0</v>
      </c>
      <c r="B314" s="216" t="s">
        <v>2</v>
      </c>
      <c r="C314" s="217" t="s">
        <v>4</v>
      </c>
      <c r="D314" s="216" t="s">
        <v>12</v>
      </c>
      <c r="E314" s="216" t="s">
        <v>6</v>
      </c>
      <c r="F314" s="216" t="s">
        <v>6</v>
      </c>
      <c r="G314" s="216" t="s">
        <v>1</v>
      </c>
      <c r="H314" s="216" t="s">
        <v>1</v>
      </c>
      <c r="I314" s="216" t="s">
        <v>15</v>
      </c>
      <c r="J314" s="216" t="s">
        <v>17</v>
      </c>
      <c r="K314" s="216" t="s">
        <v>31</v>
      </c>
      <c r="L314" s="216" t="s">
        <v>35</v>
      </c>
      <c r="M314" s="216" t="s">
        <v>34</v>
      </c>
      <c r="N314" s="216" t="s">
        <v>34</v>
      </c>
      <c r="O314" s="216" t="s">
        <v>42</v>
      </c>
      <c r="P314" s="216" t="s">
        <v>5</v>
      </c>
      <c r="Q314" s="216" t="s">
        <v>49</v>
      </c>
      <c r="R314" s="230" t="s">
        <v>45</v>
      </c>
      <c r="S314" s="230" t="s">
        <v>47</v>
      </c>
      <c r="T314" s="230" t="s">
        <v>51</v>
      </c>
      <c r="U314" s="230" t="s">
        <v>51</v>
      </c>
      <c r="V314" s="230" t="s">
        <v>56</v>
      </c>
      <c r="W314" s="230" t="s">
        <v>1</v>
      </c>
      <c r="X314" s="230" t="s">
        <v>60</v>
      </c>
      <c r="Y314" s="230" t="s">
        <v>60</v>
      </c>
      <c r="Z314" s="230" t="s">
        <v>1</v>
      </c>
      <c r="AA314" s="230" t="s">
        <v>60</v>
      </c>
      <c r="AB314" s="230" t="s">
        <v>60</v>
      </c>
      <c r="AC314" s="230" t="s">
        <v>1</v>
      </c>
      <c r="AD314" s="231" t="s">
        <v>56</v>
      </c>
      <c r="AE314" s="231" t="s">
        <v>1</v>
      </c>
      <c r="AF314" s="230" t="s">
        <v>84</v>
      </c>
      <c r="AG314" s="232" t="s">
        <v>86</v>
      </c>
      <c r="AH314" s="232" t="s">
        <v>17</v>
      </c>
      <c r="AI314" s="232" t="s">
        <v>88</v>
      </c>
      <c r="AJ314" s="232" t="s">
        <v>1</v>
      </c>
      <c r="AK314" s="232" t="s">
        <v>5</v>
      </c>
      <c r="AL314" s="232" t="s">
        <v>5</v>
      </c>
      <c r="AM314" s="232" t="s">
        <v>1</v>
      </c>
      <c r="AN314" s="232" t="s">
        <v>90</v>
      </c>
      <c r="AO314" s="232" t="s">
        <v>5</v>
      </c>
      <c r="AP314" s="232" t="s">
        <v>1</v>
      </c>
      <c r="AQ314" s="232" t="s">
        <v>114</v>
      </c>
      <c r="AR314" s="233" t="s">
        <v>1</v>
      </c>
      <c r="AT314" s="208" t="s">
        <v>205</v>
      </c>
      <c r="AU314" s="208" t="s">
        <v>147</v>
      </c>
      <c r="AV314" s="208" t="s">
        <v>208</v>
      </c>
      <c r="AW314" s="208" t="s">
        <v>208</v>
      </c>
    </row>
    <row r="315" spans="1:49" s="208" customFormat="1" ht="12.75">
      <c r="A315" s="216"/>
      <c r="B315" s="216" t="s">
        <v>3</v>
      </c>
      <c r="C315" s="217" t="s">
        <v>5</v>
      </c>
      <c r="D315" s="216" t="s">
        <v>13</v>
      </c>
      <c r="E315" s="216" t="s">
        <v>7</v>
      </c>
      <c r="F315" s="216" t="s">
        <v>19</v>
      </c>
      <c r="G315" s="216" t="s">
        <v>19</v>
      </c>
      <c r="H315" s="216" t="s">
        <v>14</v>
      </c>
      <c r="I315" s="216" t="s">
        <v>16</v>
      </c>
      <c r="J315" s="216" t="s">
        <v>18</v>
      </c>
      <c r="K315" s="216" t="s">
        <v>8</v>
      </c>
      <c r="L315" s="216" t="s">
        <v>0</v>
      </c>
      <c r="M315" s="216" t="s">
        <v>0</v>
      </c>
      <c r="N315" s="216" t="s">
        <v>1</v>
      </c>
      <c r="O315" s="216" t="s">
        <v>43</v>
      </c>
      <c r="P315" s="216" t="s">
        <v>50</v>
      </c>
      <c r="Q315" s="216" t="s">
        <v>44</v>
      </c>
      <c r="R315" s="230" t="s">
        <v>46</v>
      </c>
      <c r="S315" s="230" t="s">
        <v>46</v>
      </c>
      <c r="T315" s="230" t="s">
        <v>52</v>
      </c>
      <c r="U315" s="230" t="s">
        <v>53</v>
      </c>
      <c r="V315" s="230" t="s">
        <v>57</v>
      </c>
      <c r="W315" s="230" t="s">
        <v>59</v>
      </c>
      <c r="X315" s="230" t="s">
        <v>61</v>
      </c>
      <c r="Y315" s="230" t="s">
        <v>66</v>
      </c>
      <c r="Z315" s="230" t="s">
        <v>67</v>
      </c>
      <c r="AA315" s="230" t="s">
        <v>62</v>
      </c>
      <c r="AB315" s="230" t="s">
        <v>65</v>
      </c>
      <c r="AC315" s="230" t="s">
        <v>64</v>
      </c>
      <c r="AD315" s="231" t="s">
        <v>68</v>
      </c>
      <c r="AE315" s="231" t="s">
        <v>69</v>
      </c>
      <c r="AF315" s="230" t="s">
        <v>89</v>
      </c>
      <c r="AG315" s="232" t="s">
        <v>90</v>
      </c>
      <c r="AH315" s="232" t="s">
        <v>87</v>
      </c>
      <c r="AI315" s="232" t="s">
        <v>91</v>
      </c>
      <c r="AJ315" s="232" t="s">
        <v>85</v>
      </c>
      <c r="AK315" s="232" t="s">
        <v>93</v>
      </c>
      <c r="AL315" s="232" t="s">
        <v>95</v>
      </c>
      <c r="AM315" s="232" t="s">
        <v>97</v>
      </c>
      <c r="AN315" s="232" t="s">
        <v>93</v>
      </c>
      <c r="AO315" s="232" t="s">
        <v>94</v>
      </c>
      <c r="AP315" s="232">
        <v>5</v>
      </c>
      <c r="AQ315" s="232" t="s">
        <v>115</v>
      </c>
      <c r="AR315" s="234" t="s">
        <v>116</v>
      </c>
      <c r="AT315" s="208" t="s">
        <v>206</v>
      </c>
      <c r="AU315" s="208" t="s">
        <v>207</v>
      </c>
      <c r="AV315" s="208" t="s">
        <v>5</v>
      </c>
      <c r="AW315" s="208" t="s">
        <v>209</v>
      </c>
    </row>
    <row r="316" spans="1:49" s="208" customFormat="1" ht="12.75">
      <c r="A316" s="213" t="str">
        <f>A191</f>
        <v>BLANC</v>
      </c>
      <c r="B316" s="213">
        <f>B191</f>
        <v>1</v>
      </c>
      <c r="C316" s="220">
        <f>IF(L191&gt;$L$215,C191,0)</f>
        <v>0</v>
      </c>
      <c r="D316" s="213">
        <f>B316*C316</f>
        <v>0</v>
      </c>
      <c r="E316" s="221">
        <f>IF(E344=0,0,E344)</f>
        <v>0</v>
      </c>
      <c r="F316" s="221">
        <f aca="true" t="shared" si="98" ref="F316:F322">C316-(C316*E316/100)</f>
        <v>0</v>
      </c>
      <c r="G316" s="213">
        <f>F316*B316</f>
        <v>0</v>
      </c>
      <c r="H316" s="213">
        <f aca="true" t="shared" si="99" ref="H316:H321">IF(G316&gt;I317,I317,G316)</f>
        <v>0</v>
      </c>
      <c r="I316" s="213">
        <f aca="true" t="shared" si="100" ref="I316:I321">I317-H316</f>
        <v>0</v>
      </c>
      <c r="J316" s="213">
        <f>FLOOR((H316/B316)/$C$27,5)</f>
        <v>0</v>
      </c>
      <c r="K316" s="213">
        <f>J316*B316</f>
        <v>0</v>
      </c>
      <c r="L316" s="213">
        <f>IF(C316&gt;=1,$D$200-L325,0)</f>
        <v>0</v>
      </c>
      <c r="M316" s="213" t="str">
        <f>A316</f>
        <v>BLANC</v>
      </c>
      <c r="N316" s="213">
        <f>B316</f>
        <v>1</v>
      </c>
      <c r="O316" s="213">
        <f aca="true" t="shared" si="101" ref="O316:O321">IF(C316=0,50000,IF(FLOOR($D$276/B316,1)=0,50000,FLOOR($D$276/B316,1)))</f>
        <v>50000</v>
      </c>
      <c r="P316" s="213">
        <f>IF(O316=50000,50000,IF(O316*N316=$D$336,O316,50000))</f>
        <v>50000</v>
      </c>
      <c r="Q316" s="213">
        <f>IF(MIN($P$316:$P$322)=50000,0,IF(O316=MIN($P$316:$P$322),O316,0))</f>
        <v>0</v>
      </c>
      <c r="R316" s="212">
        <f>J316+Q316</f>
        <v>0</v>
      </c>
      <c r="S316" s="212">
        <f>R316*B316</f>
        <v>0</v>
      </c>
      <c r="T316" s="212">
        <f>IF($D$277=0,0,$D$276/B316)</f>
        <v>0</v>
      </c>
      <c r="U316" s="212">
        <f>IF(T316=1,IF(C251&gt;=$D$269,1,0),0)</f>
        <v>0</v>
      </c>
      <c r="V316" s="212">
        <f>R316+U316</f>
        <v>0</v>
      </c>
      <c r="W316" s="212">
        <f aca="true" t="shared" si="102" ref="W316:W322">V316*N316</f>
        <v>0</v>
      </c>
      <c r="X316" s="212">
        <f>IF(C316&gt;=$D$269,IF(INT($D$338/B316)=0,50000,INT($D$338/B316)),50000)</f>
        <v>50000</v>
      </c>
      <c r="Y316" s="212">
        <f>IF(X316=50000,0,IF(X316=MIN($X$316:$X$322),X316,0))</f>
        <v>0</v>
      </c>
      <c r="Z316" s="212">
        <f aca="true" t="shared" si="103" ref="Z316:Z322">IF(Y316=0,0,Y316*B316)</f>
        <v>0</v>
      </c>
      <c r="AA316" s="212">
        <f aca="true" t="shared" si="104" ref="AA316:AA322">IF(C316&gt;=$D$269,IF(INT($Z$265/B316)=0,50000,INT($Z$265/B316)),50000)</f>
        <v>50000</v>
      </c>
      <c r="AB316" s="212">
        <f>IF(AA316=50000,0,IF(AA316=MIN($AA$256:$AA$262),AA316,0))</f>
        <v>0</v>
      </c>
      <c r="AC316" s="212">
        <f aca="true" t="shared" si="105" ref="AC316:AC322">IF(AB316=0,0,AB316*E316)</f>
        <v>0</v>
      </c>
      <c r="AD316" s="235">
        <f>V316+Y316+AB316</f>
        <v>0</v>
      </c>
      <c r="AE316" s="235">
        <f aca="true" t="shared" si="106" ref="AE316:AE322">AD316*B316</f>
        <v>0</v>
      </c>
      <c r="AF316" s="212" t="str">
        <f>M316</f>
        <v>BLANC</v>
      </c>
      <c r="AG316" s="212">
        <f>B316</f>
        <v>1</v>
      </c>
      <c r="AH316" s="212">
        <f>IF(C191=0,0,C191)</f>
        <v>100</v>
      </c>
      <c r="AI316" s="212">
        <f>L316</f>
        <v>0</v>
      </c>
      <c r="AJ316" s="236">
        <f>IF((AH316*AG316)=0,"0",AG316)</f>
        <v>1</v>
      </c>
      <c r="AK316" s="236">
        <f>IF(AJ316="0","A",IF(INT($AG$325/AJ316)=0,"A",INT($AG$325/AJ316)))</f>
        <v>10</v>
      </c>
      <c r="AL316" s="236">
        <f>IF(AK316="A",0,IF(AK316=MIN(AK316:AK322),AK316,0))</f>
        <v>0</v>
      </c>
      <c r="AM316" s="212">
        <f>AL316*AG316</f>
        <v>0</v>
      </c>
      <c r="AN316" s="236" t="str">
        <f>IF(AJ316="0","A",IF(INT($AH$326/AJ316)=0,"A",INT($AH$326/AJ316)))</f>
        <v>A</v>
      </c>
      <c r="AO316" s="236">
        <f>IF(AN316&lt;&gt;0,IF(AN316=MIN(AN316:AN322),AN316,0),0)</f>
        <v>0</v>
      </c>
      <c r="AP316" s="212">
        <f>AO316*AG316</f>
        <v>0</v>
      </c>
      <c r="AQ316" s="212">
        <f>AO316+AL316+AD316</f>
        <v>0</v>
      </c>
      <c r="AR316" s="208">
        <f>AQ316*AG316</f>
        <v>0</v>
      </c>
      <c r="AT316" s="208">
        <f>IF($AR$326&lt;&gt;0,IF($AR$326=AG316,AG316,0),0)</f>
        <v>0</v>
      </c>
      <c r="AU316" s="208">
        <f>IF(AT316=0,0,INT(AT316/AJ316))</f>
        <v>0</v>
      </c>
      <c r="AV316" s="208">
        <f>AQ316+AU316</f>
        <v>0</v>
      </c>
      <c r="AW316" s="208">
        <f>AV316*AJ316</f>
        <v>0</v>
      </c>
    </row>
    <row r="317" spans="1:49" s="208" customFormat="1" ht="12.75">
      <c r="A317" s="213" t="str">
        <f aca="true" t="shared" si="107" ref="A317:A322">A192</f>
        <v>ROUGE</v>
      </c>
      <c r="B317" s="213">
        <f aca="true" t="shared" si="108" ref="B317:B322">B192</f>
        <v>5</v>
      </c>
      <c r="C317" s="220">
        <f aca="true" t="shared" si="109" ref="C317:C322">IF(L192&gt;$L$215,C192,0)</f>
        <v>0</v>
      </c>
      <c r="D317" s="213">
        <f aca="true" t="shared" si="110" ref="D317:D322">B317*C317</f>
        <v>0</v>
      </c>
      <c r="E317" s="221">
        <f aca="true" t="shared" si="111" ref="E317:E322">IF(E345=0,0,E345)</f>
        <v>0</v>
      </c>
      <c r="F317" s="221">
        <f t="shared" si="98"/>
        <v>0</v>
      </c>
      <c r="G317" s="213">
        <f aca="true" t="shared" si="112" ref="G317:G322">F317*B317</f>
        <v>0</v>
      </c>
      <c r="H317" s="213">
        <f t="shared" si="99"/>
        <v>0</v>
      </c>
      <c r="I317" s="213">
        <f t="shared" si="100"/>
        <v>0</v>
      </c>
      <c r="J317" s="213">
        <f aca="true" t="shared" si="113" ref="J317:J322">FLOOR((H317/B317)/$C$27,1)</f>
        <v>0</v>
      </c>
      <c r="K317" s="213">
        <f aca="true" t="shared" si="114" ref="K317:K322">J317*B317</f>
        <v>0</v>
      </c>
      <c r="L317" s="213">
        <f aca="true" t="shared" si="115" ref="L317:L322">IF(C317&gt;=1,$D$200-L326,0)</f>
        <v>0</v>
      </c>
      <c r="M317" s="213" t="str">
        <f aca="true" t="shared" si="116" ref="M317:M322">A317</f>
        <v>ROUGE</v>
      </c>
      <c r="N317" s="213">
        <f aca="true" t="shared" si="117" ref="N317:N322">B317</f>
        <v>5</v>
      </c>
      <c r="O317" s="213">
        <f t="shared" si="101"/>
        <v>50000</v>
      </c>
      <c r="P317" s="213">
        <f aca="true" t="shared" si="118" ref="P317:P322">IF(O317=50000,50000,IF(O317*N317=$D$336,O317,50000))</f>
        <v>50000</v>
      </c>
      <c r="Q317" s="213">
        <f aca="true" t="shared" si="119" ref="Q317:Q322">IF(MIN($P$316:$P$322)=50000,0,IF(O317=MIN($P$316:$P$322),O317,0))</f>
        <v>0</v>
      </c>
      <c r="R317" s="212">
        <f aca="true" t="shared" si="120" ref="R317:R322">J317+Q317</f>
        <v>0</v>
      </c>
      <c r="S317" s="212">
        <f aca="true" t="shared" si="121" ref="S317:S322">R317*B317</f>
        <v>0</v>
      </c>
      <c r="T317" s="212">
        <f aca="true" t="shared" si="122" ref="T317:T322">IF($D$277=0,0,$D$276/B317)</f>
        <v>0</v>
      </c>
      <c r="U317" s="212">
        <f aca="true" t="shared" si="123" ref="U317:U322">IF(T317=1,IF(C252&gt;=$D$269,1,0),0)</f>
        <v>0</v>
      </c>
      <c r="V317" s="212">
        <f aca="true" t="shared" si="124" ref="V317:V322">R317+U317</f>
        <v>0</v>
      </c>
      <c r="W317" s="212">
        <f t="shared" si="102"/>
        <v>0</v>
      </c>
      <c r="X317" s="212">
        <f aca="true" t="shared" si="125" ref="X317:X322">IF(C317&gt;=$D$269,IF(INT($D$338/B317)=0,50000,INT($D$338/B317)),50000)</f>
        <v>50000</v>
      </c>
      <c r="Y317" s="212">
        <f aca="true" t="shared" si="126" ref="Y317:Y322">IF(X317=50000,0,IF(X317=MIN($X$316:$X$322),X317,0))</f>
        <v>0</v>
      </c>
      <c r="Z317" s="212">
        <f t="shared" si="103"/>
        <v>0</v>
      </c>
      <c r="AA317" s="212">
        <f t="shared" si="104"/>
        <v>50000</v>
      </c>
      <c r="AB317" s="212">
        <f aca="true" t="shared" si="127" ref="AB317:AB322">IF(AA317=50000,0,IF(AA317=MIN($AA$256:$AA$262),AA317,0))</f>
        <v>0</v>
      </c>
      <c r="AC317" s="212">
        <f t="shared" si="105"/>
        <v>0</v>
      </c>
      <c r="AD317" s="235">
        <f aca="true" t="shared" si="128" ref="AD317:AD322">V317+Y317+AB317</f>
        <v>0</v>
      </c>
      <c r="AE317" s="235">
        <f t="shared" si="106"/>
        <v>0</v>
      </c>
      <c r="AF317" s="212" t="str">
        <f aca="true" t="shared" si="129" ref="AF317:AF322">M317</f>
        <v>ROUGE</v>
      </c>
      <c r="AG317" s="212">
        <f aca="true" t="shared" si="130" ref="AG317:AG322">B317</f>
        <v>5</v>
      </c>
      <c r="AH317" s="212">
        <f aca="true" t="shared" si="131" ref="AH317:AH323">IF(C192=0,0,C192)</f>
        <v>100</v>
      </c>
      <c r="AI317" s="212">
        <f aca="true" t="shared" si="132" ref="AI317:AI322">L317</f>
        <v>0</v>
      </c>
      <c r="AJ317" s="236">
        <f aca="true" t="shared" si="133" ref="AJ317:AJ322">IF((AH317*AG317)=0,"0",AG317)</f>
        <v>5</v>
      </c>
      <c r="AK317" s="236">
        <f aca="true" t="shared" si="134" ref="AK317:AK322">IF(AJ317="0","A",IF(INT($AG$325/AJ317)=0,"A",INT($AG$325/AJ317)))</f>
        <v>2</v>
      </c>
      <c r="AL317" s="236">
        <f aca="true" t="shared" si="135" ref="AL317:AL322">IF(AK317="A",0,IF(AK317=MIN(AK317:AK323),AK317,0))</f>
        <v>0</v>
      </c>
      <c r="AM317" s="212">
        <f aca="true" t="shared" si="136" ref="AM317:AM322">AL317*AG317</f>
        <v>0</v>
      </c>
      <c r="AN317" s="236" t="str">
        <f aca="true" t="shared" si="137" ref="AN317:AN322">IF(AJ317="0","A",IF(INT($AH$326/AJ317)=0,"A",INT($AH$326/AJ317)))</f>
        <v>A</v>
      </c>
      <c r="AO317" s="236">
        <f aca="true" t="shared" si="138" ref="AO317:AO322">IF(AN317&lt;&gt;0,IF(AN317=MIN(AN317:AN323),AN317,0),0)</f>
        <v>0</v>
      </c>
      <c r="AP317" s="212">
        <f aca="true" t="shared" si="139" ref="AP317:AP322">AO317*AG317</f>
        <v>0</v>
      </c>
      <c r="AQ317" s="212">
        <f aca="true" t="shared" si="140" ref="AQ317:AQ322">AO317+AL317+AD317</f>
        <v>0</v>
      </c>
      <c r="AR317" s="208">
        <f aca="true" t="shared" si="141" ref="AR317:AR322">AQ317*AG317</f>
        <v>0</v>
      </c>
      <c r="AT317" s="208">
        <f aca="true" t="shared" si="142" ref="AT317:AT322">IF($AR$326&lt;&gt;0,IF($AR$326=AG317,AG317,0),0)</f>
        <v>0</v>
      </c>
      <c r="AU317" s="208">
        <f aca="true" t="shared" si="143" ref="AU317:AU322">IF(AT317=0,0,INT(AT317/AJ317))</f>
        <v>0</v>
      </c>
      <c r="AV317" s="208">
        <f aca="true" t="shared" si="144" ref="AV317:AV322">AQ317+AU317</f>
        <v>0</v>
      </c>
      <c r="AW317" s="208">
        <f aca="true" t="shared" si="145" ref="AW317:AW322">AV317*AJ317</f>
        <v>0</v>
      </c>
    </row>
    <row r="318" spans="1:49" s="208" customFormat="1" ht="12.75">
      <c r="A318" s="213" t="str">
        <f t="shared" si="107"/>
        <v>BLEU</v>
      </c>
      <c r="B318" s="213">
        <f t="shared" si="108"/>
        <v>10</v>
      </c>
      <c r="C318" s="220">
        <f t="shared" si="109"/>
        <v>0</v>
      </c>
      <c r="D318" s="213">
        <f t="shared" si="110"/>
        <v>0</v>
      </c>
      <c r="E318" s="221">
        <f t="shared" si="111"/>
        <v>0</v>
      </c>
      <c r="F318" s="221">
        <f t="shared" si="98"/>
        <v>0</v>
      </c>
      <c r="G318" s="213">
        <f t="shared" si="112"/>
        <v>0</v>
      </c>
      <c r="H318" s="213">
        <f t="shared" si="99"/>
        <v>0</v>
      </c>
      <c r="I318" s="213">
        <f t="shared" si="100"/>
        <v>0</v>
      </c>
      <c r="J318" s="213">
        <f t="shared" si="113"/>
        <v>0</v>
      </c>
      <c r="K318" s="213">
        <f t="shared" si="114"/>
        <v>0</v>
      </c>
      <c r="L318" s="213">
        <f t="shared" si="115"/>
        <v>0</v>
      </c>
      <c r="M318" s="213" t="str">
        <f t="shared" si="116"/>
        <v>BLEU</v>
      </c>
      <c r="N318" s="213">
        <f t="shared" si="117"/>
        <v>10</v>
      </c>
      <c r="O318" s="213">
        <f t="shared" si="101"/>
        <v>50000</v>
      </c>
      <c r="P318" s="213">
        <f t="shared" si="118"/>
        <v>50000</v>
      </c>
      <c r="Q318" s="213">
        <f t="shared" si="119"/>
        <v>0</v>
      </c>
      <c r="R318" s="212">
        <f t="shared" si="120"/>
        <v>0</v>
      </c>
      <c r="S318" s="212">
        <f t="shared" si="121"/>
        <v>0</v>
      </c>
      <c r="T318" s="212">
        <f t="shared" si="122"/>
        <v>0</v>
      </c>
      <c r="U318" s="212">
        <f t="shared" si="123"/>
        <v>0</v>
      </c>
      <c r="V318" s="212">
        <f t="shared" si="124"/>
        <v>0</v>
      </c>
      <c r="W318" s="212">
        <f t="shared" si="102"/>
        <v>0</v>
      </c>
      <c r="X318" s="212">
        <f t="shared" si="125"/>
        <v>50000</v>
      </c>
      <c r="Y318" s="212">
        <f t="shared" si="126"/>
        <v>0</v>
      </c>
      <c r="Z318" s="212">
        <f t="shared" si="103"/>
        <v>0</v>
      </c>
      <c r="AA318" s="212">
        <f t="shared" si="104"/>
        <v>50000</v>
      </c>
      <c r="AB318" s="212">
        <f t="shared" si="127"/>
        <v>0</v>
      </c>
      <c r="AC318" s="212">
        <f t="shared" si="105"/>
        <v>0</v>
      </c>
      <c r="AD318" s="235">
        <f t="shared" si="128"/>
        <v>0</v>
      </c>
      <c r="AE318" s="235">
        <f t="shared" si="106"/>
        <v>0</v>
      </c>
      <c r="AF318" s="212" t="str">
        <f t="shared" si="129"/>
        <v>BLEU</v>
      </c>
      <c r="AG318" s="212">
        <f t="shared" si="130"/>
        <v>10</v>
      </c>
      <c r="AH318" s="212">
        <f t="shared" si="131"/>
        <v>100</v>
      </c>
      <c r="AI318" s="212">
        <f t="shared" si="132"/>
        <v>0</v>
      </c>
      <c r="AJ318" s="236">
        <f t="shared" si="133"/>
        <v>10</v>
      </c>
      <c r="AK318" s="236">
        <f t="shared" si="134"/>
        <v>1</v>
      </c>
      <c r="AL318" s="236">
        <f t="shared" si="135"/>
        <v>1</v>
      </c>
      <c r="AM318" s="212">
        <f t="shared" si="136"/>
        <v>10</v>
      </c>
      <c r="AN318" s="236" t="str">
        <f t="shared" si="137"/>
        <v>A</v>
      </c>
      <c r="AO318" s="236">
        <f t="shared" si="138"/>
        <v>0</v>
      </c>
      <c r="AP318" s="212">
        <f t="shared" si="139"/>
        <v>0</v>
      </c>
      <c r="AQ318" s="212">
        <f t="shared" si="140"/>
        <v>1</v>
      </c>
      <c r="AR318" s="208">
        <f t="shared" si="141"/>
        <v>10</v>
      </c>
      <c r="AT318" s="208">
        <f t="shared" si="142"/>
        <v>0</v>
      </c>
      <c r="AU318" s="208">
        <f t="shared" si="143"/>
        <v>0</v>
      </c>
      <c r="AV318" s="208">
        <f t="shared" si="144"/>
        <v>1</v>
      </c>
      <c r="AW318" s="208">
        <f t="shared" si="145"/>
        <v>10</v>
      </c>
    </row>
    <row r="319" spans="1:49" s="208" customFormat="1" ht="12.75">
      <c r="A319" s="213" t="str">
        <f t="shared" si="107"/>
        <v>VERT</v>
      </c>
      <c r="B319" s="213">
        <f t="shared" si="108"/>
        <v>25</v>
      </c>
      <c r="C319" s="220">
        <f t="shared" si="109"/>
        <v>100</v>
      </c>
      <c r="D319" s="213">
        <f t="shared" si="110"/>
        <v>2500</v>
      </c>
      <c r="E319" s="221">
        <f t="shared" si="111"/>
        <v>0</v>
      </c>
      <c r="F319" s="221">
        <f t="shared" si="98"/>
        <v>100</v>
      </c>
      <c r="G319" s="213">
        <f t="shared" si="112"/>
        <v>2500</v>
      </c>
      <c r="H319" s="213">
        <f t="shared" si="99"/>
        <v>0</v>
      </c>
      <c r="I319" s="213">
        <f t="shared" si="100"/>
        <v>0</v>
      </c>
      <c r="J319" s="213">
        <f t="shared" si="113"/>
        <v>0</v>
      </c>
      <c r="K319" s="213">
        <f t="shared" si="114"/>
        <v>0</v>
      </c>
      <c r="L319" s="213">
        <f t="shared" si="115"/>
        <v>4</v>
      </c>
      <c r="M319" s="213" t="str">
        <f t="shared" si="116"/>
        <v>VERT</v>
      </c>
      <c r="N319" s="213">
        <f t="shared" si="117"/>
        <v>25</v>
      </c>
      <c r="O319" s="213">
        <f t="shared" si="101"/>
        <v>50000</v>
      </c>
      <c r="P319" s="213">
        <f t="shared" si="118"/>
        <v>50000</v>
      </c>
      <c r="Q319" s="213">
        <f t="shared" si="119"/>
        <v>0</v>
      </c>
      <c r="R319" s="212">
        <f t="shared" si="120"/>
        <v>0</v>
      </c>
      <c r="S319" s="212">
        <f t="shared" si="121"/>
        <v>0</v>
      </c>
      <c r="T319" s="212">
        <f t="shared" si="122"/>
        <v>0</v>
      </c>
      <c r="U319" s="212">
        <f t="shared" si="123"/>
        <v>0</v>
      </c>
      <c r="V319" s="212">
        <f t="shared" si="124"/>
        <v>0</v>
      </c>
      <c r="W319" s="212">
        <f t="shared" si="102"/>
        <v>0</v>
      </c>
      <c r="X319" s="212">
        <f t="shared" si="125"/>
        <v>4</v>
      </c>
      <c r="Y319" s="212">
        <f t="shared" si="126"/>
        <v>0</v>
      </c>
      <c r="Z319" s="212">
        <f t="shared" si="103"/>
        <v>0</v>
      </c>
      <c r="AA319" s="212">
        <f t="shared" si="104"/>
        <v>50000</v>
      </c>
      <c r="AB319" s="212">
        <f t="shared" si="127"/>
        <v>0</v>
      </c>
      <c r="AC319" s="212">
        <f t="shared" si="105"/>
        <v>0</v>
      </c>
      <c r="AD319" s="235">
        <f t="shared" si="128"/>
        <v>0</v>
      </c>
      <c r="AE319" s="235">
        <f t="shared" si="106"/>
        <v>0</v>
      </c>
      <c r="AF319" s="212" t="str">
        <f t="shared" si="129"/>
        <v>VERT</v>
      </c>
      <c r="AG319" s="212">
        <f t="shared" si="130"/>
        <v>25</v>
      </c>
      <c r="AH319" s="212">
        <f t="shared" si="131"/>
        <v>100</v>
      </c>
      <c r="AI319" s="212">
        <f t="shared" si="132"/>
        <v>4</v>
      </c>
      <c r="AJ319" s="236">
        <f t="shared" si="133"/>
        <v>25</v>
      </c>
      <c r="AK319" s="236" t="str">
        <f t="shared" si="134"/>
        <v>A</v>
      </c>
      <c r="AL319" s="236">
        <f t="shared" si="135"/>
        <v>0</v>
      </c>
      <c r="AM319" s="212">
        <f t="shared" si="136"/>
        <v>0</v>
      </c>
      <c r="AN319" s="236" t="str">
        <f t="shared" si="137"/>
        <v>A</v>
      </c>
      <c r="AO319" s="236">
        <f t="shared" si="138"/>
        <v>0</v>
      </c>
      <c r="AP319" s="212">
        <f t="shared" si="139"/>
        <v>0</v>
      </c>
      <c r="AQ319" s="212">
        <f t="shared" si="140"/>
        <v>0</v>
      </c>
      <c r="AR319" s="208">
        <f t="shared" si="141"/>
        <v>0</v>
      </c>
      <c r="AT319" s="208">
        <f t="shared" si="142"/>
        <v>0</v>
      </c>
      <c r="AU319" s="208">
        <f t="shared" si="143"/>
        <v>0</v>
      </c>
      <c r="AV319" s="208">
        <f t="shared" si="144"/>
        <v>0</v>
      </c>
      <c r="AW319" s="208">
        <f t="shared" si="145"/>
        <v>0</v>
      </c>
    </row>
    <row r="320" spans="1:49" s="208" customFormat="1" ht="12.75">
      <c r="A320" s="213" t="str">
        <f t="shared" si="107"/>
        <v>JAUNE</v>
      </c>
      <c r="B320" s="213">
        <f t="shared" si="108"/>
        <v>50</v>
      </c>
      <c r="C320" s="220">
        <f t="shared" si="109"/>
        <v>50</v>
      </c>
      <c r="D320" s="213">
        <f t="shared" si="110"/>
        <v>2500</v>
      </c>
      <c r="E320" s="221">
        <f t="shared" si="111"/>
        <v>0</v>
      </c>
      <c r="F320" s="221">
        <f t="shared" si="98"/>
        <v>50</v>
      </c>
      <c r="G320" s="213">
        <f t="shared" si="112"/>
        <v>2500</v>
      </c>
      <c r="H320" s="213">
        <f t="shared" si="99"/>
        <v>760</v>
      </c>
      <c r="I320" s="213">
        <f t="shared" si="100"/>
        <v>0</v>
      </c>
      <c r="J320" s="213">
        <f t="shared" si="113"/>
        <v>2</v>
      </c>
      <c r="K320" s="213">
        <f t="shared" si="114"/>
        <v>100</v>
      </c>
      <c r="L320" s="213">
        <f t="shared" si="115"/>
        <v>5</v>
      </c>
      <c r="M320" s="213" t="str">
        <f t="shared" si="116"/>
        <v>JAUNE</v>
      </c>
      <c r="N320" s="213">
        <f t="shared" si="117"/>
        <v>50</v>
      </c>
      <c r="O320" s="213">
        <f t="shared" si="101"/>
        <v>50000</v>
      </c>
      <c r="P320" s="213">
        <f t="shared" si="118"/>
        <v>50000</v>
      </c>
      <c r="Q320" s="213">
        <f t="shared" si="119"/>
        <v>0</v>
      </c>
      <c r="R320" s="212">
        <f t="shared" si="120"/>
        <v>2</v>
      </c>
      <c r="S320" s="212">
        <f t="shared" si="121"/>
        <v>100</v>
      </c>
      <c r="T320" s="212">
        <f t="shared" si="122"/>
        <v>0</v>
      </c>
      <c r="U320" s="212">
        <f t="shared" si="123"/>
        <v>0</v>
      </c>
      <c r="V320" s="212">
        <f t="shared" si="124"/>
        <v>2</v>
      </c>
      <c r="W320" s="212">
        <f t="shared" si="102"/>
        <v>100</v>
      </c>
      <c r="X320" s="212">
        <f t="shared" si="125"/>
        <v>2</v>
      </c>
      <c r="Y320" s="212">
        <f t="shared" si="126"/>
        <v>0</v>
      </c>
      <c r="Z320" s="212">
        <f t="shared" si="103"/>
        <v>0</v>
      </c>
      <c r="AA320" s="212">
        <f t="shared" si="104"/>
        <v>50000</v>
      </c>
      <c r="AB320" s="212">
        <f t="shared" si="127"/>
        <v>0</v>
      </c>
      <c r="AC320" s="212">
        <f t="shared" si="105"/>
        <v>0</v>
      </c>
      <c r="AD320" s="235">
        <f t="shared" si="128"/>
        <v>2</v>
      </c>
      <c r="AE320" s="235">
        <f t="shared" si="106"/>
        <v>100</v>
      </c>
      <c r="AF320" s="212" t="str">
        <f t="shared" si="129"/>
        <v>JAUNE</v>
      </c>
      <c r="AG320" s="212">
        <f t="shared" si="130"/>
        <v>50</v>
      </c>
      <c r="AH320" s="212">
        <f t="shared" si="131"/>
        <v>50</v>
      </c>
      <c r="AI320" s="212">
        <f t="shared" si="132"/>
        <v>5</v>
      </c>
      <c r="AJ320" s="236">
        <f t="shared" si="133"/>
        <v>50</v>
      </c>
      <c r="AK320" s="236" t="str">
        <f t="shared" si="134"/>
        <v>A</v>
      </c>
      <c r="AL320" s="236">
        <f t="shared" si="135"/>
        <v>0</v>
      </c>
      <c r="AM320" s="212">
        <f t="shared" si="136"/>
        <v>0</v>
      </c>
      <c r="AN320" s="236" t="str">
        <f t="shared" si="137"/>
        <v>A</v>
      </c>
      <c r="AO320" s="236">
        <f t="shared" si="138"/>
        <v>0</v>
      </c>
      <c r="AP320" s="212">
        <f t="shared" si="139"/>
        <v>0</v>
      </c>
      <c r="AQ320" s="212">
        <f t="shared" si="140"/>
        <v>2</v>
      </c>
      <c r="AR320" s="208">
        <f t="shared" si="141"/>
        <v>100</v>
      </c>
      <c r="AT320" s="208">
        <f t="shared" si="142"/>
        <v>0</v>
      </c>
      <c r="AU320" s="208">
        <f t="shared" si="143"/>
        <v>0</v>
      </c>
      <c r="AV320" s="208">
        <f t="shared" si="144"/>
        <v>2</v>
      </c>
      <c r="AW320" s="208">
        <f t="shared" si="145"/>
        <v>100</v>
      </c>
    </row>
    <row r="321" spans="1:49" s="208" customFormat="1" ht="12.75">
      <c r="A321" s="213" t="str">
        <f t="shared" si="107"/>
        <v>NOIR</v>
      </c>
      <c r="B321" s="213">
        <f t="shared" si="108"/>
        <v>100</v>
      </c>
      <c r="C321" s="220">
        <f t="shared" si="109"/>
        <v>50</v>
      </c>
      <c r="D321" s="213">
        <f t="shared" si="110"/>
        <v>5000</v>
      </c>
      <c r="E321" s="221">
        <f t="shared" si="111"/>
        <v>42</v>
      </c>
      <c r="F321" s="221">
        <f t="shared" si="98"/>
        <v>29</v>
      </c>
      <c r="G321" s="213">
        <f t="shared" si="112"/>
        <v>2900</v>
      </c>
      <c r="H321" s="213">
        <f t="shared" si="99"/>
        <v>2900</v>
      </c>
      <c r="I321" s="213">
        <f t="shared" si="100"/>
        <v>760</v>
      </c>
      <c r="J321" s="213">
        <f t="shared" si="113"/>
        <v>4</v>
      </c>
      <c r="K321" s="213">
        <f t="shared" si="114"/>
        <v>400</v>
      </c>
      <c r="L321" s="213">
        <f t="shared" si="115"/>
        <v>6</v>
      </c>
      <c r="M321" s="213" t="str">
        <f t="shared" si="116"/>
        <v>NOIR</v>
      </c>
      <c r="N321" s="213">
        <f t="shared" si="117"/>
        <v>100</v>
      </c>
      <c r="O321" s="213">
        <f t="shared" si="101"/>
        <v>50000</v>
      </c>
      <c r="P321" s="213">
        <f t="shared" si="118"/>
        <v>50000</v>
      </c>
      <c r="Q321" s="213">
        <f t="shared" si="119"/>
        <v>0</v>
      </c>
      <c r="R321" s="212">
        <f t="shared" si="120"/>
        <v>4</v>
      </c>
      <c r="S321" s="212">
        <f t="shared" si="121"/>
        <v>400</v>
      </c>
      <c r="T321" s="212">
        <f t="shared" si="122"/>
        <v>0</v>
      </c>
      <c r="U321" s="212">
        <f t="shared" si="123"/>
        <v>0</v>
      </c>
      <c r="V321" s="212">
        <f t="shared" si="124"/>
        <v>4</v>
      </c>
      <c r="W321" s="212">
        <f t="shared" si="102"/>
        <v>400</v>
      </c>
      <c r="X321" s="212">
        <f t="shared" si="125"/>
        <v>1</v>
      </c>
      <c r="Y321" s="212">
        <f t="shared" si="126"/>
        <v>1</v>
      </c>
      <c r="Z321" s="212">
        <f t="shared" si="103"/>
        <v>100</v>
      </c>
      <c r="AA321" s="212">
        <f t="shared" si="104"/>
        <v>50000</v>
      </c>
      <c r="AB321" s="212">
        <f t="shared" si="127"/>
        <v>0</v>
      </c>
      <c r="AC321" s="212">
        <f t="shared" si="105"/>
        <v>0</v>
      </c>
      <c r="AD321" s="235">
        <f t="shared" si="128"/>
        <v>5</v>
      </c>
      <c r="AE321" s="235">
        <f t="shared" si="106"/>
        <v>500</v>
      </c>
      <c r="AF321" s="212" t="str">
        <f t="shared" si="129"/>
        <v>NOIR</v>
      </c>
      <c r="AG321" s="212">
        <f t="shared" si="130"/>
        <v>100</v>
      </c>
      <c r="AH321" s="212">
        <f t="shared" si="131"/>
        <v>50</v>
      </c>
      <c r="AI321" s="212">
        <f t="shared" si="132"/>
        <v>6</v>
      </c>
      <c r="AJ321" s="236">
        <f t="shared" si="133"/>
        <v>100</v>
      </c>
      <c r="AK321" s="236" t="str">
        <f t="shared" si="134"/>
        <v>A</v>
      </c>
      <c r="AL321" s="236">
        <f t="shared" si="135"/>
        <v>0</v>
      </c>
      <c r="AM321" s="212">
        <f t="shared" si="136"/>
        <v>0</v>
      </c>
      <c r="AN321" s="236" t="str">
        <f t="shared" si="137"/>
        <v>A</v>
      </c>
      <c r="AO321" s="236">
        <f t="shared" si="138"/>
        <v>0</v>
      </c>
      <c r="AP321" s="212">
        <f t="shared" si="139"/>
        <v>0</v>
      </c>
      <c r="AQ321" s="212">
        <f t="shared" si="140"/>
        <v>5</v>
      </c>
      <c r="AR321" s="208">
        <f t="shared" si="141"/>
        <v>500</v>
      </c>
      <c r="AT321" s="208">
        <f t="shared" si="142"/>
        <v>0</v>
      </c>
      <c r="AU321" s="208">
        <f t="shared" si="143"/>
        <v>0</v>
      </c>
      <c r="AV321" s="208">
        <f t="shared" si="144"/>
        <v>5</v>
      </c>
      <c r="AW321" s="208">
        <f t="shared" si="145"/>
        <v>500</v>
      </c>
    </row>
    <row r="322" spans="1:49" s="208" customFormat="1" ht="12.75">
      <c r="A322" s="213" t="str">
        <f t="shared" si="107"/>
        <v>MAUVE</v>
      </c>
      <c r="B322" s="213">
        <f t="shared" si="108"/>
        <v>500</v>
      </c>
      <c r="C322" s="220">
        <f t="shared" si="109"/>
        <v>0</v>
      </c>
      <c r="D322" s="213">
        <f t="shared" si="110"/>
        <v>0</v>
      </c>
      <c r="E322" s="221">
        <f t="shared" si="111"/>
        <v>0</v>
      </c>
      <c r="F322" s="221">
        <f t="shared" si="98"/>
        <v>0</v>
      </c>
      <c r="G322" s="213">
        <f t="shared" si="112"/>
        <v>0</v>
      </c>
      <c r="H322" s="213">
        <f>IF(G322&gt;D332,D332,G322)</f>
        <v>0</v>
      </c>
      <c r="I322" s="213">
        <f>D332-H322</f>
        <v>3660</v>
      </c>
      <c r="J322" s="213">
        <f t="shared" si="113"/>
        <v>0</v>
      </c>
      <c r="K322" s="213">
        <f t="shared" si="114"/>
        <v>0</v>
      </c>
      <c r="L322" s="213">
        <f t="shared" si="115"/>
        <v>0</v>
      </c>
      <c r="M322" s="213" t="str">
        <f t="shared" si="116"/>
        <v>MAUVE</v>
      </c>
      <c r="N322" s="213">
        <f t="shared" si="117"/>
        <v>500</v>
      </c>
      <c r="O322" s="213">
        <f>IF(C322=0,50000,IF(FLOOR($D$276/B322,1)=0,50000,FLOOR($D$276/B322,1)))</f>
        <v>50000</v>
      </c>
      <c r="P322" s="213">
        <f t="shared" si="118"/>
        <v>50000</v>
      </c>
      <c r="Q322" s="213">
        <f t="shared" si="119"/>
        <v>0</v>
      </c>
      <c r="R322" s="212">
        <f t="shared" si="120"/>
        <v>0</v>
      </c>
      <c r="S322" s="212">
        <f t="shared" si="121"/>
        <v>0</v>
      </c>
      <c r="T322" s="212">
        <f t="shared" si="122"/>
        <v>0</v>
      </c>
      <c r="U322" s="212">
        <f t="shared" si="123"/>
        <v>0</v>
      </c>
      <c r="V322" s="212">
        <f t="shared" si="124"/>
        <v>0</v>
      </c>
      <c r="W322" s="212">
        <f t="shared" si="102"/>
        <v>0</v>
      </c>
      <c r="X322" s="212">
        <f t="shared" si="125"/>
        <v>50000</v>
      </c>
      <c r="Y322" s="212">
        <f t="shared" si="126"/>
        <v>0</v>
      </c>
      <c r="Z322" s="212">
        <f t="shared" si="103"/>
        <v>0</v>
      </c>
      <c r="AA322" s="212">
        <f t="shared" si="104"/>
        <v>50000</v>
      </c>
      <c r="AB322" s="212">
        <f t="shared" si="127"/>
        <v>0</v>
      </c>
      <c r="AC322" s="212">
        <f t="shared" si="105"/>
        <v>0</v>
      </c>
      <c r="AD322" s="235">
        <f t="shared" si="128"/>
        <v>0</v>
      </c>
      <c r="AE322" s="235">
        <f t="shared" si="106"/>
        <v>0</v>
      </c>
      <c r="AF322" s="212" t="str">
        <f t="shared" si="129"/>
        <v>MAUVE</v>
      </c>
      <c r="AG322" s="212">
        <f t="shared" si="130"/>
        <v>500</v>
      </c>
      <c r="AH322" s="212">
        <f t="shared" si="131"/>
        <v>0</v>
      </c>
      <c r="AI322" s="212">
        <f t="shared" si="132"/>
        <v>0</v>
      </c>
      <c r="AJ322" s="236" t="str">
        <f t="shared" si="133"/>
        <v>0</v>
      </c>
      <c r="AK322" s="236" t="str">
        <f t="shared" si="134"/>
        <v>A</v>
      </c>
      <c r="AL322" s="236">
        <f t="shared" si="135"/>
        <v>0</v>
      </c>
      <c r="AM322" s="212">
        <f t="shared" si="136"/>
        <v>0</v>
      </c>
      <c r="AN322" s="236" t="str">
        <f t="shared" si="137"/>
        <v>A</v>
      </c>
      <c r="AO322" s="236">
        <f t="shared" si="138"/>
        <v>0</v>
      </c>
      <c r="AP322" s="212">
        <f t="shared" si="139"/>
        <v>0</v>
      </c>
      <c r="AQ322" s="212">
        <f t="shared" si="140"/>
        <v>0</v>
      </c>
      <c r="AR322" s="208">
        <f t="shared" si="141"/>
        <v>0</v>
      </c>
      <c r="AT322" s="208">
        <f t="shared" si="142"/>
        <v>0</v>
      </c>
      <c r="AU322" s="208">
        <f t="shared" si="143"/>
        <v>0</v>
      </c>
      <c r="AV322" s="208">
        <f t="shared" si="144"/>
        <v>0</v>
      </c>
      <c r="AW322" s="208">
        <f t="shared" si="145"/>
        <v>0</v>
      </c>
    </row>
    <row r="323" spans="1:49" s="208" customFormat="1" ht="12.75">
      <c r="A323" s="213" t="s">
        <v>9</v>
      </c>
      <c r="B323" s="213"/>
      <c r="C323" s="213">
        <f>SUM(C316:C322)</f>
        <v>200</v>
      </c>
      <c r="D323" s="213">
        <f>SUM(D316:D322)</f>
        <v>10000</v>
      </c>
      <c r="E323" s="213"/>
      <c r="F323" s="221">
        <f>SUM(F316:F322)</f>
        <v>179</v>
      </c>
      <c r="G323" s="215">
        <f>SUM(G316:G322)</f>
        <v>7900</v>
      </c>
      <c r="H323" s="213"/>
      <c r="I323" s="213"/>
      <c r="J323" s="213">
        <f>SUM(J316:J322)</f>
        <v>6</v>
      </c>
      <c r="K323" s="213">
        <f>SUM(K316:K322)</f>
        <v>500</v>
      </c>
      <c r="L323" s="213"/>
      <c r="M323" s="213"/>
      <c r="N323" s="213"/>
      <c r="O323" s="213"/>
      <c r="P323" s="213"/>
      <c r="Q323" s="213"/>
      <c r="R323" s="212">
        <f>SUM(R316:R322)</f>
        <v>6</v>
      </c>
      <c r="S323" s="212">
        <f>SUM(S316:S322)</f>
        <v>500</v>
      </c>
      <c r="T323" s="212"/>
      <c r="U323" s="212"/>
      <c r="V323" s="212">
        <f>SUM(V316:V322)</f>
        <v>6</v>
      </c>
      <c r="W323" s="212">
        <f>SUM(W316:W322)</f>
        <v>500</v>
      </c>
      <c r="X323" s="212"/>
      <c r="Y323" s="212"/>
      <c r="Z323" s="212">
        <f>SUM(Z316:Z322)</f>
        <v>100</v>
      </c>
      <c r="AA323" s="212"/>
      <c r="AB323" s="212"/>
      <c r="AC323" s="212"/>
      <c r="AD323" s="235">
        <f>SUM(AD316:AD322)</f>
        <v>7</v>
      </c>
      <c r="AE323" s="235">
        <f>SUM(AE316:AE322)</f>
        <v>600</v>
      </c>
      <c r="AF323" s="212"/>
      <c r="AG323" s="212"/>
      <c r="AH323" s="212">
        <f t="shared" si="131"/>
        <v>500</v>
      </c>
      <c r="AI323" s="212"/>
      <c r="AJ323" s="212">
        <f>SUM(AJ316:AJ322)</f>
        <v>191</v>
      </c>
      <c r="AK323" s="212"/>
      <c r="AL323" s="212"/>
      <c r="AM323" s="212">
        <f>SUM(AM316:AM322)</f>
        <v>10</v>
      </c>
      <c r="AN323" s="235"/>
      <c r="AO323" s="235"/>
      <c r="AP323" s="235">
        <f>SUM(AP316:AP322)</f>
        <v>0</v>
      </c>
      <c r="AQ323" s="235">
        <f>SUM(AQ316:AQ322)</f>
        <v>8</v>
      </c>
      <c r="AR323" s="237">
        <f>SUM(AR316:AR322)</f>
        <v>610</v>
      </c>
      <c r="AV323" s="208">
        <f>SUM(AV316:AV322)</f>
        <v>8</v>
      </c>
      <c r="AW323" s="208">
        <f>SUM(AW316:AW322)</f>
        <v>610</v>
      </c>
    </row>
    <row r="324" spans="1:43" s="208" customFormat="1" ht="12.75">
      <c r="A324" s="213"/>
      <c r="B324" s="213"/>
      <c r="C324" s="213"/>
      <c r="D324" s="213"/>
      <c r="E324" s="213"/>
      <c r="F324" s="213"/>
      <c r="G324" s="213"/>
      <c r="H324" s="213"/>
      <c r="I324" s="213"/>
      <c r="J324" s="213"/>
      <c r="K324" s="213"/>
      <c r="L324" s="213"/>
      <c r="M324" s="213"/>
      <c r="N324" s="213"/>
      <c r="O324" s="213"/>
      <c r="P324" s="213"/>
      <c r="Q324" s="213"/>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c r="AN324" s="212"/>
      <c r="AO324" s="212"/>
      <c r="AP324" s="212"/>
      <c r="AQ324" s="212"/>
    </row>
    <row r="325" spans="1:43" s="208" customFormat="1" ht="12.75">
      <c r="A325" s="213" t="s">
        <v>33</v>
      </c>
      <c r="B325" s="213"/>
      <c r="C325" s="213"/>
      <c r="D325" s="213">
        <f>COUNTIF(C316:C322,"&gt;=1")</f>
        <v>3</v>
      </c>
      <c r="E325" s="213"/>
      <c r="F325" s="213"/>
      <c r="G325" s="222" t="s">
        <v>21</v>
      </c>
      <c r="H325" s="222"/>
      <c r="I325" s="213"/>
      <c r="J325" s="213" t="str">
        <f>"Couleurs utilisées après "&amp;A316&amp;":"</f>
        <v>Couleurs utilisées après BLANC:</v>
      </c>
      <c r="K325" s="213"/>
      <c r="L325" s="213">
        <f>COUNTIF(C317:$C$322,"&gt;=1")</f>
        <v>3</v>
      </c>
      <c r="M325" s="213"/>
      <c r="N325" s="213"/>
      <c r="O325" s="213"/>
      <c r="P325" s="213"/>
      <c r="Q325" s="213"/>
      <c r="R325" s="212"/>
      <c r="S325" s="212"/>
      <c r="T325" s="212"/>
      <c r="U325" s="212"/>
      <c r="V325" s="212"/>
      <c r="W325" s="212"/>
      <c r="X325" s="212" t="s">
        <v>63</v>
      </c>
      <c r="Y325" s="212"/>
      <c r="Z325" s="212">
        <f>D338-Z323</f>
        <v>10</v>
      </c>
      <c r="AA325" s="212"/>
      <c r="AB325" s="212"/>
      <c r="AC325" s="212"/>
      <c r="AD325" s="212"/>
      <c r="AE325" s="212"/>
      <c r="AF325" s="212" t="s">
        <v>92</v>
      </c>
      <c r="AG325" s="212">
        <f>D339</f>
        <v>10</v>
      </c>
      <c r="AH325" s="212"/>
      <c r="AI325" s="212"/>
      <c r="AJ325" s="212"/>
      <c r="AK325" s="212"/>
      <c r="AL325" s="212"/>
      <c r="AM325" s="212"/>
      <c r="AN325" s="212"/>
      <c r="AO325" s="212"/>
      <c r="AP325" s="212"/>
      <c r="AQ325" s="212"/>
    </row>
    <row r="326" spans="1:44" s="208" customFormat="1" ht="12.75">
      <c r="A326" s="213"/>
      <c r="B326" s="213"/>
      <c r="C326" s="213"/>
      <c r="D326" s="213"/>
      <c r="E326" s="213"/>
      <c r="F326" s="213"/>
      <c r="G326" s="222" t="s">
        <v>80</v>
      </c>
      <c r="H326" s="222"/>
      <c r="I326" s="213"/>
      <c r="J326" s="213" t="str">
        <f aca="true" t="shared" si="146" ref="J326:J331">"Couleurs utilisées après "&amp;A317&amp;":"</f>
        <v>Couleurs utilisées après ROUGE:</v>
      </c>
      <c r="K326" s="213"/>
      <c r="L326" s="213">
        <f>COUNTIF(C318:$C$322,"&gt;=1")</f>
        <v>3</v>
      </c>
      <c r="M326" s="213"/>
      <c r="N326" s="213"/>
      <c r="O326" s="213"/>
      <c r="P326" s="213"/>
      <c r="Q326" s="213"/>
      <c r="R326" s="212"/>
      <c r="S326" s="212"/>
      <c r="T326" s="212"/>
      <c r="U326" s="212"/>
      <c r="V326" s="212"/>
      <c r="W326" s="212"/>
      <c r="X326" s="212"/>
      <c r="Y326" s="212"/>
      <c r="Z326" s="212"/>
      <c r="AA326" s="212"/>
      <c r="AB326" s="212"/>
      <c r="AC326" s="212"/>
      <c r="AD326" s="212"/>
      <c r="AE326" s="212"/>
      <c r="AF326" s="212" t="s">
        <v>96</v>
      </c>
      <c r="AG326" s="212"/>
      <c r="AH326" s="212">
        <f>AG325-AM323</f>
        <v>0</v>
      </c>
      <c r="AI326" s="212"/>
      <c r="AJ326" s="212"/>
      <c r="AK326" s="212"/>
      <c r="AL326" s="212"/>
      <c r="AM326" s="212"/>
      <c r="AN326" s="212"/>
      <c r="AO326" s="212"/>
      <c r="AP326" s="212" t="s">
        <v>204</v>
      </c>
      <c r="AQ326" s="212"/>
      <c r="AR326" s="208">
        <f>D310-AR323</f>
        <v>0</v>
      </c>
    </row>
    <row r="327" spans="1:43" s="208" customFormat="1" ht="12.75">
      <c r="A327" s="220" t="str">
        <f>"Boite de : "&amp;C323&amp;" Jetons - Valeur fictive Totale de "&amp;D323&amp;" $"</f>
        <v>Boite de : 200 Jetons - Valeur fictive Totale de 10000 $</v>
      </c>
      <c r="B327" s="213"/>
      <c r="C327" s="213"/>
      <c r="D327" s="213"/>
      <c r="E327" s="213"/>
      <c r="F327" s="213"/>
      <c r="G327" s="222" t="str">
        <f aca="true" t="shared" si="147" ref="G327:G334">AV316&amp;" "&amp;A316</f>
        <v>0 BLANC</v>
      </c>
      <c r="H327" s="222"/>
      <c r="I327" s="213"/>
      <c r="J327" s="213" t="str">
        <f t="shared" si="146"/>
        <v>Couleurs utilisées après BLEU:</v>
      </c>
      <c r="K327" s="213"/>
      <c r="L327" s="213">
        <f>COUNTIF(C319:$C$322,"&gt;=1")</f>
        <v>3</v>
      </c>
      <c r="M327" s="213"/>
      <c r="N327" s="213"/>
      <c r="O327" s="213"/>
      <c r="P327" s="213"/>
      <c r="Q327" s="213"/>
      <c r="R327" s="212"/>
      <c r="S327" s="212"/>
      <c r="T327" s="212"/>
      <c r="U327" s="212"/>
      <c r="V327" s="212"/>
      <c r="W327" s="212"/>
      <c r="X327" s="212"/>
      <c r="Y327" s="212"/>
      <c r="Z327" s="212"/>
      <c r="AA327" s="212"/>
      <c r="AB327" s="212"/>
      <c r="AC327" s="212"/>
      <c r="AD327" s="212"/>
      <c r="AE327" s="212"/>
      <c r="AF327" s="212" t="s">
        <v>113</v>
      </c>
      <c r="AG327" s="212"/>
      <c r="AH327" s="212">
        <f>AH326-AP323</f>
        <v>0</v>
      </c>
      <c r="AI327" s="212"/>
      <c r="AJ327" s="212"/>
      <c r="AK327" s="212"/>
      <c r="AL327" s="212"/>
      <c r="AM327" s="212"/>
      <c r="AN327" s="212"/>
      <c r="AO327" s="212"/>
      <c r="AP327" s="212"/>
      <c r="AQ327" s="212"/>
    </row>
    <row r="328" spans="1:43" s="208" customFormat="1" ht="12.75">
      <c r="A328" s="213"/>
      <c r="B328" s="213"/>
      <c r="C328" s="213"/>
      <c r="D328" s="213"/>
      <c r="E328" s="213"/>
      <c r="F328" s="213"/>
      <c r="G328" s="222" t="str">
        <f t="shared" si="147"/>
        <v>0 ROUGE</v>
      </c>
      <c r="H328" s="222"/>
      <c r="I328" s="213"/>
      <c r="J328" s="213" t="str">
        <f t="shared" si="146"/>
        <v>Couleurs utilisées après VERT:</v>
      </c>
      <c r="K328" s="213"/>
      <c r="L328" s="213">
        <f>COUNTIF(C320:$C$322,"&gt;=1")</f>
        <v>2</v>
      </c>
      <c r="M328" s="213"/>
      <c r="N328" s="213"/>
      <c r="O328" s="213"/>
      <c r="P328" s="213"/>
      <c r="Q328" s="213"/>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212"/>
      <c r="AN328" s="212"/>
      <c r="AO328" s="212"/>
      <c r="AP328" s="212"/>
      <c r="AQ328" s="212"/>
    </row>
    <row r="329" spans="1:43" s="208" customFormat="1" ht="12.75">
      <c r="A329" s="223" t="s">
        <v>10</v>
      </c>
      <c r="B329" s="223"/>
      <c r="C329" s="223"/>
      <c r="D329" s="220">
        <f>D204</f>
        <v>6</v>
      </c>
      <c r="E329" s="213"/>
      <c r="F329" s="213"/>
      <c r="G329" s="222" t="str">
        <f t="shared" si="147"/>
        <v>1 BLEU</v>
      </c>
      <c r="H329" s="222"/>
      <c r="I329" s="213"/>
      <c r="J329" s="213" t="str">
        <f t="shared" si="146"/>
        <v>Couleurs utilisées après JAUNE:</v>
      </c>
      <c r="K329" s="213"/>
      <c r="L329" s="213">
        <f>COUNTIF(C321:$C$322,"&gt;=1")</f>
        <v>1</v>
      </c>
      <c r="M329" s="213"/>
      <c r="N329" s="213"/>
      <c r="O329" s="213"/>
      <c r="P329" s="213"/>
      <c r="Q329" s="213"/>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212"/>
      <c r="AN329" s="212"/>
      <c r="AO329" s="212"/>
      <c r="AP329" s="212"/>
      <c r="AQ329" s="212"/>
    </row>
    <row r="330" spans="1:43" s="208" customFormat="1" ht="12.75">
      <c r="A330" s="213"/>
      <c r="B330" s="213"/>
      <c r="C330" s="213"/>
      <c r="D330" s="213"/>
      <c r="E330" s="213"/>
      <c r="F330" s="213"/>
      <c r="G330" s="222" t="str">
        <f t="shared" si="147"/>
        <v>0 VERT</v>
      </c>
      <c r="H330" s="222"/>
      <c r="I330" s="213"/>
      <c r="J330" s="213" t="str">
        <f t="shared" si="146"/>
        <v>Couleurs utilisées après NOIR:</v>
      </c>
      <c r="K330" s="213"/>
      <c r="L330" s="213">
        <f>COUNTIF(C322:$C$322,"&gt;=1")</f>
        <v>0</v>
      </c>
      <c r="M330" s="213"/>
      <c r="N330" s="213"/>
      <c r="O330" s="213"/>
      <c r="P330" s="213"/>
      <c r="Q330" s="213"/>
      <c r="R330" s="212"/>
      <c r="S330" s="212"/>
      <c r="T330" s="212"/>
      <c r="U330" s="212"/>
      <c r="V330" s="212"/>
      <c r="W330" s="212"/>
      <c r="X330" s="212"/>
      <c r="Y330" s="212"/>
      <c r="Z330" s="212"/>
      <c r="AA330" s="212"/>
      <c r="AB330" s="212"/>
      <c r="AC330" s="212"/>
      <c r="AD330" s="212"/>
      <c r="AE330" s="212"/>
      <c r="AF330" s="212"/>
      <c r="AG330" s="212"/>
      <c r="AH330" s="212"/>
      <c r="AI330" s="212"/>
      <c r="AJ330" s="212"/>
      <c r="AK330" s="212"/>
      <c r="AL330" s="212"/>
      <c r="AM330" s="212"/>
      <c r="AN330" s="212"/>
      <c r="AO330" s="212"/>
      <c r="AP330" s="212"/>
      <c r="AQ330" s="212"/>
    </row>
    <row r="331" spans="1:43" s="208" customFormat="1" ht="12.75">
      <c r="A331" s="224" t="s">
        <v>36</v>
      </c>
      <c r="B331" s="224"/>
      <c r="C331" s="224"/>
      <c r="D331" s="213">
        <f>D271</f>
        <v>610</v>
      </c>
      <c r="E331" s="213"/>
      <c r="F331" s="213"/>
      <c r="G331" s="222" t="str">
        <f t="shared" si="147"/>
        <v>2 JAUNE</v>
      </c>
      <c r="H331" s="222"/>
      <c r="I331" s="213"/>
      <c r="J331" s="213" t="str">
        <f t="shared" si="146"/>
        <v>Couleurs utilisées après MAUVE:</v>
      </c>
      <c r="K331" s="213"/>
      <c r="L331" s="213">
        <v>0</v>
      </c>
      <c r="M331" s="213"/>
      <c r="N331" s="213"/>
      <c r="O331" s="213"/>
      <c r="P331" s="213"/>
      <c r="Q331" s="213"/>
      <c r="R331" s="212"/>
      <c r="S331" s="212"/>
      <c r="T331" s="212"/>
      <c r="U331" s="212"/>
      <c r="V331" s="212"/>
      <c r="W331" s="212"/>
      <c r="X331" s="212"/>
      <c r="Y331" s="212"/>
      <c r="Z331" s="212"/>
      <c r="AA331" s="212"/>
      <c r="AB331" s="212"/>
      <c r="AC331" s="212"/>
      <c r="AD331" s="212"/>
      <c r="AE331" s="212"/>
      <c r="AF331" s="212"/>
      <c r="AG331" s="212"/>
      <c r="AH331" s="212"/>
      <c r="AI331" s="212"/>
      <c r="AJ331" s="212"/>
      <c r="AK331" s="212"/>
      <c r="AL331" s="212"/>
      <c r="AM331" s="212"/>
      <c r="AN331" s="212"/>
      <c r="AO331" s="212"/>
      <c r="AP331" s="212"/>
      <c r="AQ331" s="212"/>
    </row>
    <row r="332" spans="1:43" s="208" customFormat="1" ht="12.75">
      <c r="A332" s="225" t="str">
        <f>"Total à distribuer pour "&amp;D329&amp;" joueurs :"</f>
        <v>Total à distribuer pour 6 joueurs :</v>
      </c>
      <c r="B332" s="225"/>
      <c r="C332" s="225"/>
      <c r="D332" s="213">
        <f>D331*D329</f>
        <v>3660</v>
      </c>
      <c r="E332" s="213"/>
      <c r="F332" s="213"/>
      <c r="G332" s="222" t="str">
        <f t="shared" si="147"/>
        <v>5 NOIR</v>
      </c>
      <c r="H332" s="222"/>
      <c r="I332" s="213"/>
      <c r="J332" s="213"/>
      <c r="K332" s="213"/>
      <c r="L332" s="213"/>
      <c r="M332" s="213"/>
      <c r="N332" s="213"/>
      <c r="O332" s="213"/>
      <c r="P332" s="213"/>
      <c r="Q332" s="213"/>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212"/>
      <c r="AN332" s="212"/>
      <c r="AO332" s="212"/>
      <c r="AP332" s="212"/>
      <c r="AQ332" s="212"/>
    </row>
    <row r="333" spans="1:43" s="208" customFormat="1" ht="12.75">
      <c r="A333" s="213"/>
      <c r="B333" s="213"/>
      <c r="C333" s="213"/>
      <c r="D333" s="213"/>
      <c r="E333" s="213"/>
      <c r="F333" s="213"/>
      <c r="G333" s="222" t="str">
        <f t="shared" si="147"/>
        <v>0 MAUVE</v>
      </c>
      <c r="H333" s="222"/>
      <c r="I333" s="213"/>
      <c r="J333" s="213" t="s">
        <v>37</v>
      </c>
      <c r="K333" s="213"/>
      <c r="L333" s="213">
        <f>IF(D325=7,4,IF(D325=6,4,IF(D325=5,3,IF(D325=4,3,IF(D325=3,2,IF(D325=2,1,0))))))</f>
        <v>2</v>
      </c>
      <c r="M333" s="213"/>
      <c r="N333" s="213"/>
      <c r="O333" s="213"/>
      <c r="P333" s="213"/>
      <c r="Q333" s="213"/>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212"/>
      <c r="AN333" s="212"/>
      <c r="AO333" s="212"/>
      <c r="AP333" s="212"/>
      <c r="AQ333" s="212"/>
    </row>
    <row r="334" spans="1:43" s="208" customFormat="1" ht="15.75">
      <c r="A334" s="226" t="s">
        <v>79</v>
      </c>
      <c r="B334" s="226"/>
      <c r="C334" s="226"/>
      <c r="D334" s="226">
        <f>AW323</f>
        <v>610</v>
      </c>
      <c r="E334" s="213"/>
      <c r="F334" s="213"/>
      <c r="G334" s="222" t="str">
        <f t="shared" si="147"/>
        <v>8 Total</v>
      </c>
      <c r="H334" s="222"/>
      <c r="I334" s="213"/>
      <c r="J334" s="213" t="s">
        <v>38</v>
      </c>
      <c r="K334" s="213"/>
      <c r="L334" s="213">
        <f>D325-L333</f>
        <v>1</v>
      </c>
      <c r="M334" s="213"/>
      <c r="N334" s="213"/>
      <c r="O334" s="213"/>
      <c r="P334" s="213"/>
      <c r="Q334" s="213"/>
      <c r="R334" s="212"/>
      <c r="S334" s="212"/>
      <c r="T334" s="212"/>
      <c r="U334" s="212"/>
      <c r="V334" s="212"/>
      <c r="W334" s="212"/>
      <c r="X334" s="212"/>
      <c r="Y334" s="212"/>
      <c r="Z334" s="212"/>
      <c r="AA334" s="212"/>
      <c r="AB334" s="212"/>
      <c r="AC334" s="212"/>
      <c r="AD334" s="212"/>
      <c r="AE334" s="212"/>
      <c r="AF334" s="212"/>
      <c r="AG334" s="212"/>
      <c r="AH334" s="212"/>
      <c r="AI334" s="212"/>
      <c r="AJ334" s="212"/>
      <c r="AK334" s="212"/>
      <c r="AL334" s="212"/>
      <c r="AM334" s="212"/>
      <c r="AN334" s="212"/>
      <c r="AO334" s="212"/>
      <c r="AP334" s="212"/>
      <c r="AQ334" s="212"/>
    </row>
    <row r="335" spans="1:43" s="208" customFormat="1" ht="12.75">
      <c r="A335" s="213"/>
      <c r="B335" s="213"/>
      <c r="C335" s="213"/>
      <c r="D335" s="213"/>
      <c r="E335" s="213"/>
      <c r="F335" s="213"/>
      <c r="G335" s="213"/>
      <c r="H335" s="213"/>
      <c r="I335" s="213"/>
      <c r="J335" s="213"/>
      <c r="K335" s="213"/>
      <c r="L335" s="213"/>
      <c r="M335" s="213"/>
      <c r="N335" s="213"/>
      <c r="O335" s="213"/>
      <c r="P335" s="213"/>
      <c r="Q335" s="213"/>
      <c r="R335" s="212"/>
      <c r="S335" s="212"/>
      <c r="T335" s="212"/>
      <c r="U335" s="212"/>
      <c r="V335" s="212"/>
      <c r="W335" s="212"/>
      <c r="X335" s="212"/>
      <c r="Y335" s="212"/>
      <c r="Z335" s="212"/>
      <c r="AA335" s="212"/>
      <c r="AB335" s="212"/>
      <c r="AC335" s="212"/>
      <c r="AD335" s="212"/>
      <c r="AE335" s="212"/>
      <c r="AF335" s="212"/>
      <c r="AG335" s="212"/>
      <c r="AH335" s="212"/>
      <c r="AI335" s="212"/>
      <c r="AJ335" s="212"/>
      <c r="AK335" s="212"/>
      <c r="AL335" s="212"/>
      <c r="AM335" s="212"/>
      <c r="AN335" s="212"/>
      <c r="AO335" s="212"/>
      <c r="AP335" s="212"/>
      <c r="AQ335" s="212"/>
    </row>
    <row r="336" spans="1:43" s="208" customFormat="1" ht="12.75">
      <c r="A336" s="220" t="s">
        <v>54</v>
      </c>
      <c r="B336" s="220"/>
      <c r="C336" s="220"/>
      <c r="D336" s="220">
        <f>K198-K323</f>
        <v>110</v>
      </c>
      <c r="E336" s="213"/>
      <c r="F336" s="213"/>
      <c r="G336" s="213"/>
      <c r="H336" s="213"/>
      <c r="I336" s="213"/>
      <c r="J336" s="213" t="s">
        <v>41</v>
      </c>
      <c r="K336" s="213"/>
      <c r="L336" s="213">
        <f>IF(D325=7,5,IF(D325=6,5,IF(D325=5,4,IF(D325=4,3,IF(D325=3,2,IF(D325=2,2,1))))))</f>
        <v>2</v>
      </c>
      <c r="M336" s="213"/>
      <c r="N336" s="213"/>
      <c r="O336" s="213"/>
      <c r="P336" s="213"/>
      <c r="Q336" s="213"/>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212"/>
      <c r="AN336" s="212"/>
      <c r="AO336" s="212"/>
      <c r="AP336" s="212"/>
      <c r="AQ336" s="212"/>
    </row>
    <row r="337" spans="1:43" s="208" customFormat="1" ht="12.75">
      <c r="A337" s="220" t="s">
        <v>55</v>
      </c>
      <c r="B337" s="220"/>
      <c r="C337" s="220"/>
      <c r="D337" s="220">
        <f>K198-S323</f>
        <v>110</v>
      </c>
      <c r="E337" s="213"/>
      <c r="F337" s="213"/>
      <c r="G337" s="213"/>
      <c r="H337" s="213"/>
      <c r="I337" s="213"/>
      <c r="J337" s="213" t="s">
        <v>40</v>
      </c>
      <c r="K337" s="213"/>
      <c r="L337" s="213">
        <f>D325-L336</f>
        <v>1</v>
      </c>
      <c r="M337" s="213"/>
      <c r="N337" s="213"/>
      <c r="O337" s="213"/>
      <c r="P337" s="213"/>
      <c r="Q337" s="213"/>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212"/>
      <c r="AN337" s="212"/>
      <c r="AO337" s="212"/>
      <c r="AP337" s="212"/>
      <c r="AQ337" s="212"/>
    </row>
    <row r="338" spans="1:43" s="208" customFormat="1" ht="12.75">
      <c r="A338" s="220" t="s">
        <v>58</v>
      </c>
      <c r="B338" s="213"/>
      <c r="C338" s="213"/>
      <c r="D338" s="220">
        <f>K198-W323</f>
        <v>110</v>
      </c>
      <c r="E338" s="213"/>
      <c r="F338" s="213"/>
      <c r="G338" s="213"/>
      <c r="H338" s="213"/>
      <c r="I338" s="213"/>
      <c r="J338" s="213"/>
      <c r="K338" s="213"/>
      <c r="L338" s="213"/>
      <c r="M338" s="213"/>
      <c r="N338" s="213"/>
      <c r="O338" s="213"/>
      <c r="P338" s="213"/>
      <c r="Q338" s="213"/>
      <c r="R338" s="212"/>
      <c r="S338" s="212"/>
      <c r="T338" s="212"/>
      <c r="U338" s="212"/>
      <c r="V338" s="212"/>
      <c r="W338" s="212"/>
      <c r="X338" s="212"/>
      <c r="Y338" s="212"/>
      <c r="Z338" s="212"/>
      <c r="AA338" s="212"/>
      <c r="AB338" s="212"/>
      <c r="AC338" s="212"/>
      <c r="AD338" s="212"/>
      <c r="AE338" s="212"/>
      <c r="AF338" s="212"/>
      <c r="AG338" s="212"/>
      <c r="AH338" s="212"/>
      <c r="AI338" s="212"/>
      <c r="AJ338" s="212"/>
      <c r="AK338" s="212"/>
      <c r="AL338" s="212"/>
      <c r="AM338" s="212"/>
      <c r="AN338" s="212"/>
      <c r="AO338" s="212"/>
      <c r="AP338" s="212"/>
      <c r="AQ338" s="212"/>
    </row>
    <row r="339" spans="1:43" s="208" customFormat="1" ht="12.75">
      <c r="A339" s="220" t="s">
        <v>70</v>
      </c>
      <c r="B339" s="213"/>
      <c r="C339" s="213"/>
      <c r="D339" s="220">
        <f>K198-AE323</f>
        <v>10</v>
      </c>
      <c r="E339" s="213"/>
      <c r="F339" s="213"/>
      <c r="G339" s="213"/>
      <c r="H339" s="213"/>
      <c r="I339" s="213"/>
      <c r="J339" s="213"/>
      <c r="K339" s="213"/>
      <c r="L339" s="213"/>
      <c r="M339" s="213"/>
      <c r="N339" s="213"/>
      <c r="O339" s="213"/>
      <c r="P339" s="213"/>
      <c r="Q339" s="213"/>
      <c r="R339" s="212"/>
      <c r="S339" s="212"/>
      <c r="T339" s="212"/>
      <c r="U339" s="212"/>
      <c r="V339" s="212"/>
      <c r="W339" s="212"/>
      <c r="X339" s="212"/>
      <c r="Y339" s="212"/>
      <c r="Z339" s="212"/>
      <c r="AA339" s="212"/>
      <c r="AB339" s="212"/>
      <c r="AC339" s="212"/>
      <c r="AD339" s="212"/>
      <c r="AE339" s="212"/>
      <c r="AF339" s="212"/>
      <c r="AG339" s="212"/>
      <c r="AH339" s="212"/>
      <c r="AI339" s="212"/>
      <c r="AJ339" s="212"/>
      <c r="AK339" s="212"/>
      <c r="AL339" s="212"/>
      <c r="AM339" s="212"/>
      <c r="AN339" s="212"/>
      <c r="AO339" s="212"/>
      <c r="AP339" s="212"/>
      <c r="AQ339" s="212"/>
    </row>
    <row r="340" spans="1:43" s="208" customFormat="1" ht="12.75">
      <c r="A340" s="213"/>
      <c r="B340" s="213"/>
      <c r="C340" s="213"/>
      <c r="D340" s="213"/>
      <c r="E340" s="213"/>
      <c r="F340" s="213"/>
      <c r="G340" s="213"/>
      <c r="H340" s="213"/>
      <c r="I340" s="213"/>
      <c r="J340" s="213"/>
      <c r="K340" s="213"/>
      <c r="L340" s="213"/>
      <c r="M340" s="213"/>
      <c r="N340" s="213"/>
      <c r="O340" s="213"/>
      <c r="P340" s="213"/>
      <c r="Q340" s="213"/>
      <c r="R340" s="212"/>
      <c r="S340" s="212"/>
      <c r="T340" s="212"/>
      <c r="U340" s="212"/>
      <c r="V340" s="212"/>
      <c r="W340" s="212"/>
      <c r="X340" s="212"/>
      <c r="Y340" s="212"/>
      <c r="Z340" s="212"/>
      <c r="AA340" s="212"/>
      <c r="AB340" s="212"/>
      <c r="AC340" s="212"/>
      <c r="AD340" s="212"/>
      <c r="AE340" s="212"/>
      <c r="AF340" s="212"/>
      <c r="AG340" s="212"/>
      <c r="AH340" s="212"/>
      <c r="AI340" s="212"/>
      <c r="AJ340" s="212"/>
      <c r="AK340" s="212"/>
      <c r="AL340" s="212"/>
      <c r="AM340" s="212"/>
      <c r="AN340" s="212"/>
      <c r="AO340" s="212"/>
      <c r="AP340" s="212"/>
      <c r="AQ340" s="212"/>
    </row>
    <row r="341" spans="1:43" s="208" customFormat="1" ht="12.75">
      <c r="A341" s="213"/>
      <c r="B341" s="213"/>
      <c r="C341" s="213"/>
      <c r="D341" s="213"/>
      <c r="E341" s="213"/>
      <c r="F341" s="213"/>
      <c r="G341" s="213"/>
      <c r="H341" s="213"/>
      <c r="I341" s="213"/>
      <c r="J341" s="213"/>
      <c r="K341" s="213"/>
      <c r="L341" s="213"/>
      <c r="M341" s="213"/>
      <c r="N341" s="213"/>
      <c r="O341" s="213"/>
      <c r="P341" s="213"/>
      <c r="Q341" s="213"/>
      <c r="R341" s="212"/>
      <c r="S341" s="212"/>
      <c r="T341" s="212"/>
      <c r="U341" s="212"/>
      <c r="V341" s="212"/>
      <c r="W341" s="212"/>
      <c r="X341" s="212"/>
      <c r="Y341" s="212"/>
      <c r="Z341" s="212"/>
      <c r="AA341" s="212"/>
      <c r="AB341" s="212"/>
      <c r="AC341" s="212"/>
      <c r="AD341" s="212"/>
      <c r="AE341" s="212"/>
      <c r="AF341" s="212"/>
      <c r="AG341" s="212"/>
      <c r="AH341" s="212"/>
      <c r="AI341" s="212"/>
      <c r="AJ341" s="212"/>
      <c r="AK341" s="212"/>
      <c r="AL341" s="212"/>
      <c r="AM341" s="212"/>
      <c r="AN341" s="212"/>
      <c r="AO341" s="212"/>
      <c r="AP341" s="212"/>
      <c r="AQ341" s="212"/>
    </row>
    <row r="342" spans="1:43" s="208" customFormat="1" ht="12.75">
      <c r="A342" s="212"/>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c r="AF342" s="212"/>
      <c r="AG342" s="212"/>
      <c r="AH342" s="212"/>
      <c r="AI342" s="212"/>
      <c r="AJ342" s="212"/>
      <c r="AK342" s="212"/>
      <c r="AL342" s="212"/>
      <c r="AM342" s="212"/>
      <c r="AN342" s="212"/>
      <c r="AO342" s="212"/>
      <c r="AP342" s="212"/>
      <c r="AQ342" s="212"/>
    </row>
    <row r="343" spans="1:43" s="208" customFormat="1" ht="12.75">
      <c r="A343" s="212" t="s">
        <v>81</v>
      </c>
      <c r="B343" s="212"/>
      <c r="C343" s="212"/>
      <c r="D343" s="212">
        <f>MAX(A344:A350)</f>
        <v>100</v>
      </c>
      <c r="E343" s="212"/>
      <c r="F343" s="212"/>
      <c r="G343" s="212"/>
      <c r="H343" s="212"/>
      <c r="I343" s="212"/>
      <c r="J343" s="212"/>
      <c r="K343" s="212"/>
      <c r="L343" s="212"/>
      <c r="M343" s="212"/>
      <c r="N343" s="212"/>
      <c r="O343" s="212"/>
      <c r="P343" s="212"/>
      <c r="Q343" s="212"/>
      <c r="R343" s="212"/>
      <c r="S343" s="219" t="s">
        <v>139</v>
      </c>
      <c r="T343" s="219" t="s">
        <v>139</v>
      </c>
      <c r="U343" s="219" t="s">
        <v>139</v>
      </c>
      <c r="V343" s="219" t="s">
        <v>199</v>
      </c>
      <c r="W343" s="219" t="s">
        <v>215</v>
      </c>
      <c r="X343" s="212"/>
      <c r="Y343" s="212"/>
      <c r="Z343" s="212"/>
      <c r="AA343" s="212"/>
      <c r="AB343" s="212"/>
      <c r="AC343" s="212"/>
      <c r="AD343" s="212"/>
      <c r="AE343" s="212"/>
      <c r="AF343" s="212"/>
      <c r="AG343" s="212"/>
      <c r="AH343" s="212"/>
      <c r="AI343" s="212"/>
      <c r="AJ343" s="212"/>
      <c r="AK343" s="212"/>
      <c r="AL343" s="212"/>
      <c r="AM343" s="212"/>
      <c r="AN343" s="212"/>
      <c r="AO343" s="212"/>
      <c r="AP343" s="212"/>
      <c r="AQ343" s="212"/>
    </row>
    <row r="344" spans="1:43" s="208" customFormat="1" ht="12.75">
      <c r="A344" s="212">
        <f>IF(C316=0,0,B316)</f>
        <v>0</v>
      </c>
      <c r="B344" s="212">
        <f aca="true" t="shared" si="148" ref="B344:B350">IF(A344=$D$343,1,0)</f>
        <v>0</v>
      </c>
      <c r="C344" s="212">
        <f>IF(D316&gt;$D$332,(($D$332/D316)*100),0)</f>
        <v>0</v>
      </c>
      <c r="D344" s="212">
        <f>IF(C344=0,0,INT(C344-(C344*20/100)))</f>
        <v>0</v>
      </c>
      <c r="E344" s="212">
        <f>IF(D344=0,0,100-D344)</f>
        <v>0</v>
      </c>
      <c r="F344" s="212"/>
      <c r="G344" s="212"/>
      <c r="H344" s="212"/>
      <c r="I344" s="212"/>
      <c r="J344" s="212"/>
      <c r="K344" s="212"/>
      <c r="L344" s="212"/>
      <c r="M344" s="212"/>
      <c r="N344" s="212"/>
      <c r="O344" s="212"/>
      <c r="P344" s="212"/>
      <c r="Q344" s="212"/>
      <c r="R344" s="212"/>
      <c r="S344" s="219" t="s">
        <v>141</v>
      </c>
      <c r="T344" s="219" t="s">
        <v>197</v>
      </c>
      <c r="U344" s="219" t="s">
        <v>198</v>
      </c>
      <c r="V344" s="219" t="s">
        <v>90</v>
      </c>
      <c r="W344" s="219" t="s">
        <v>85</v>
      </c>
      <c r="X344" s="212"/>
      <c r="Y344" s="212"/>
      <c r="Z344" s="212"/>
      <c r="AA344" s="212"/>
      <c r="AB344" s="212"/>
      <c r="AC344" s="212"/>
      <c r="AD344" s="212"/>
      <c r="AE344" s="212"/>
      <c r="AF344" s="212"/>
      <c r="AG344" s="212"/>
      <c r="AH344" s="212"/>
      <c r="AI344" s="212"/>
      <c r="AJ344" s="212"/>
      <c r="AK344" s="212"/>
      <c r="AL344" s="212"/>
      <c r="AM344" s="212"/>
      <c r="AN344" s="212"/>
      <c r="AO344" s="212"/>
      <c r="AP344" s="212"/>
      <c r="AQ344" s="212"/>
    </row>
    <row r="345" spans="1:43" s="208" customFormat="1" ht="12.75">
      <c r="A345" s="212">
        <f aca="true" t="shared" si="149" ref="A345:A350">IF(C317=0,0,B317)</f>
        <v>0</v>
      </c>
      <c r="B345" s="212">
        <f t="shared" si="148"/>
        <v>0</v>
      </c>
      <c r="C345" s="212">
        <f aca="true" t="shared" si="150" ref="C345:C350">IF(D317&gt;$D$332,(($D$332/D317)*100),0)</f>
        <v>0</v>
      </c>
      <c r="D345" s="212">
        <f aca="true" t="shared" si="151" ref="D345:D350">IF(C345=0,0,INT(C345-(C345*20/100)))</f>
        <v>0</v>
      </c>
      <c r="E345" s="212">
        <f aca="true" t="shared" si="152" ref="E345:E350">IF(D345=0,0,100-D345)</f>
        <v>0</v>
      </c>
      <c r="F345" s="212"/>
      <c r="G345" s="212"/>
      <c r="H345" s="212"/>
      <c r="I345" s="212"/>
      <c r="J345" s="212"/>
      <c r="K345" s="212"/>
      <c r="L345" s="212"/>
      <c r="M345" s="212"/>
      <c r="N345" s="212"/>
      <c r="O345" s="212"/>
      <c r="P345" s="212"/>
      <c r="Q345" s="212"/>
      <c r="R345" s="212"/>
      <c r="S345" s="212">
        <f>IF(C364&gt;0,S364,0)</f>
        <v>1</v>
      </c>
      <c r="T345" s="212">
        <f>SMALL(S345:$S$351,1+$T353)</f>
        <v>1</v>
      </c>
      <c r="U345" s="212">
        <f>IF(ISERROR(T345),0,T345)</f>
        <v>1</v>
      </c>
      <c r="V345" s="212">
        <f>C364</f>
        <v>100</v>
      </c>
      <c r="W345" s="212">
        <f>IF(U345=$S$345,V345,IF(U345=$S$346,V346,IF(U345=$S$347,V347,IF(U345=$S$348,V348,IF(U345=$S$349,V349,IF(U345=$S$350,V350,IF(U345=$S$351,V351)))))))</f>
        <v>100</v>
      </c>
      <c r="X345" s="212"/>
      <c r="Y345" s="212"/>
      <c r="Z345" s="212"/>
      <c r="AA345" s="212"/>
      <c r="AB345" s="212"/>
      <c r="AC345" s="212"/>
      <c r="AD345" s="212"/>
      <c r="AE345" s="212"/>
      <c r="AF345" s="212"/>
      <c r="AG345" s="212"/>
      <c r="AH345" s="212"/>
      <c r="AI345" s="212"/>
      <c r="AJ345" s="212"/>
      <c r="AK345" s="212"/>
      <c r="AL345" s="212"/>
      <c r="AM345" s="212"/>
      <c r="AN345" s="212"/>
      <c r="AO345" s="212"/>
      <c r="AP345" s="212"/>
      <c r="AQ345" s="212"/>
    </row>
    <row r="346" spans="1:43" s="208" customFormat="1" ht="12.75">
      <c r="A346" s="212">
        <f t="shared" si="149"/>
        <v>0</v>
      </c>
      <c r="B346" s="212">
        <f t="shared" si="148"/>
        <v>0</v>
      </c>
      <c r="C346" s="212">
        <f t="shared" si="150"/>
        <v>0</v>
      </c>
      <c r="D346" s="212">
        <f t="shared" si="151"/>
        <v>0</v>
      </c>
      <c r="E346" s="212">
        <f t="shared" si="152"/>
        <v>0</v>
      </c>
      <c r="F346" s="212"/>
      <c r="G346" s="212"/>
      <c r="H346" s="212"/>
      <c r="I346" s="212"/>
      <c r="J346" s="212"/>
      <c r="K346" s="212"/>
      <c r="L346" s="212"/>
      <c r="M346" s="212"/>
      <c r="N346" s="212"/>
      <c r="O346" s="212"/>
      <c r="P346" s="212"/>
      <c r="Q346" s="212"/>
      <c r="R346" s="212"/>
      <c r="S346" s="212">
        <f aca="true" t="shared" si="153" ref="S346:S351">IF(C365&gt;0,S365,0)</f>
        <v>5</v>
      </c>
      <c r="T346" s="212">
        <f>IF(SMALL(S346:$S$351,1+$T354)=T345,SMALL(S346:$S$351,2+$T354),SMALL(S346:$S$351,1+$T354))</f>
        <v>5</v>
      </c>
      <c r="U346" s="212">
        <f aca="true" t="shared" si="154" ref="U346:U351">IF(ISERROR(T346),0,T346)</f>
        <v>5</v>
      </c>
      <c r="V346" s="212">
        <f aca="true" t="shared" si="155" ref="V346:V351">C365</f>
        <v>100</v>
      </c>
      <c r="W346" s="212">
        <f aca="true" t="shared" si="156" ref="W346:W351">IF(U346=S346,V346,IF(U346=S347,V347,IF(U346=S348,V348,IF(U346=S349,V349,IF(U346=S350,V350,IF(U346=S351,V351,IF(U346=S352,V352)))))))</f>
        <v>100</v>
      </c>
      <c r="X346" s="212"/>
      <c r="Y346" s="212"/>
      <c r="Z346" s="212"/>
      <c r="AA346" s="212"/>
      <c r="AB346" s="212"/>
      <c r="AC346" s="212"/>
      <c r="AD346" s="212"/>
      <c r="AE346" s="212"/>
      <c r="AF346" s="212"/>
      <c r="AG346" s="212"/>
      <c r="AH346" s="212"/>
      <c r="AI346" s="212"/>
      <c r="AJ346" s="212"/>
      <c r="AK346" s="212"/>
      <c r="AL346" s="212"/>
      <c r="AM346" s="212"/>
      <c r="AN346" s="212"/>
      <c r="AO346" s="212"/>
      <c r="AP346" s="212"/>
      <c r="AQ346" s="212"/>
    </row>
    <row r="347" spans="1:43" s="208" customFormat="1" ht="12.75">
      <c r="A347" s="212">
        <f t="shared" si="149"/>
        <v>25</v>
      </c>
      <c r="B347" s="212">
        <f t="shared" si="148"/>
        <v>0</v>
      </c>
      <c r="C347" s="212">
        <f t="shared" si="150"/>
        <v>0</v>
      </c>
      <c r="D347" s="212">
        <f t="shared" si="151"/>
        <v>0</v>
      </c>
      <c r="E347" s="212">
        <f t="shared" si="152"/>
        <v>0</v>
      </c>
      <c r="F347" s="212"/>
      <c r="G347" s="212"/>
      <c r="H347" s="212"/>
      <c r="I347" s="212"/>
      <c r="J347" s="212"/>
      <c r="K347" s="212"/>
      <c r="L347" s="212"/>
      <c r="M347" s="212"/>
      <c r="N347" s="212"/>
      <c r="O347" s="212"/>
      <c r="P347" s="212"/>
      <c r="Q347" s="212"/>
      <c r="R347" s="212"/>
      <c r="S347" s="212">
        <f t="shared" si="153"/>
        <v>10</v>
      </c>
      <c r="T347" s="212">
        <f>IF(SMALL(S347:$S$351,1+$T355)=T346,SMALL(S347:$S$351,2+$T355),SMALL(S347:$S$351,1+$T355))</f>
        <v>10</v>
      </c>
      <c r="U347" s="212">
        <f t="shared" si="154"/>
        <v>10</v>
      </c>
      <c r="V347" s="212">
        <f t="shared" si="155"/>
        <v>100</v>
      </c>
      <c r="W347" s="212">
        <f t="shared" si="156"/>
        <v>100</v>
      </c>
      <c r="X347" s="212"/>
      <c r="Y347" s="212"/>
      <c r="Z347" s="212"/>
      <c r="AA347" s="212"/>
      <c r="AB347" s="212"/>
      <c r="AC347" s="212"/>
      <c r="AD347" s="212"/>
      <c r="AE347" s="212"/>
      <c r="AF347" s="212"/>
      <c r="AG347" s="212"/>
      <c r="AH347" s="212"/>
      <c r="AI347" s="212"/>
      <c r="AJ347" s="212"/>
      <c r="AK347" s="212"/>
      <c r="AL347" s="212"/>
      <c r="AM347" s="212"/>
      <c r="AN347" s="212"/>
      <c r="AO347" s="212"/>
      <c r="AP347" s="212"/>
      <c r="AQ347" s="212"/>
    </row>
    <row r="348" spans="1:43" s="208" customFormat="1" ht="12.75">
      <c r="A348" s="212">
        <f t="shared" si="149"/>
        <v>50</v>
      </c>
      <c r="B348" s="212">
        <f t="shared" si="148"/>
        <v>0</v>
      </c>
      <c r="C348" s="212">
        <f t="shared" si="150"/>
        <v>0</v>
      </c>
      <c r="D348" s="212">
        <f t="shared" si="151"/>
        <v>0</v>
      </c>
      <c r="E348" s="212">
        <f t="shared" si="152"/>
        <v>0</v>
      </c>
      <c r="F348" s="212"/>
      <c r="G348" s="212"/>
      <c r="H348" s="212"/>
      <c r="I348" s="212"/>
      <c r="J348" s="212"/>
      <c r="K348" s="212"/>
      <c r="L348" s="212"/>
      <c r="M348" s="212"/>
      <c r="N348" s="212"/>
      <c r="O348" s="212"/>
      <c r="P348" s="212"/>
      <c r="Q348" s="212"/>
      <c r="R348" s="212"/>
      <c r="S348" s="212">
        <f t="shared" si="153"/>
        <v>25</v>
      </c>
      <c r="T348" s="212">
        <f>IF(SMALL(S348:$S$351,1+$T356)=T347,SMALL(S348:$S$351,2+$T356),SMALL(S348:$S$351,1+$T356))</f>
        <v>25</v>
      </c>
      <c r="U348" s="212">
        <f t="shared" si="154"/>
        <v>25</v>
      </c>
      <c r="V348" s="212">
        <f t="shared" si="155"/>
        <v>100</v>
      </c>
      <c r="W348" s="212">
        <f t="shared" si="156"/>
        <v>100</v>
      </c>
      <c r="X348" s="212"/>
      <c r="Y348" s="212"/>
      <c r="Z348" s="212"/>
      <c r="AA348" s="212"/>
      <c r="AB348" s="212"/>
      <c r="AC348" s="212"/>
      <c r="AD348" s="212"/>
      <c r="AE348" s="212"/>
      <c r="AF348" s="212"/>
      <c r="AG348" s="212"/>
      <c r="AH348" s="212"/>
      <c r="AI348" s="212"/>
      <c r="AJ348" s="212"/>
      <c r="AK348" s="212"/>
      <c r="AL348" s="212"/>
      <c r="AM348" s="212"/>
      <c r="AN348" s="212"/>
      <c r="AO348" s="212"/>
      <c r="AP348" s="212"/>
      <c r="AQ348" s="212"/>
    </row>
    <row r="349" spans="1:43" s="208" customFormat="1" ht="12.75">
      <c r="A349" s="212">
        <f t="shared" si="149"/>
        <v>100</v>
      </c>
      <c r="B349" s="212">
        <f t="shared" si="148"/>
        <v>1</v>
      </c>
      <c r="C349" s="212">
        <f t="shared" si="150"/>
        <v>73.2</v>
      </c>
      <c r="D349" s="212">
        <f t="shared" si="151"/>
        <v>58</v>
      </c>
      <c r="E349" s="212">
        <f t="shared" si="152"/>
        <v>42</v>
      </c>
      <c r="F349" s="212"/>
      <c r="G349" s="212"/>
      <c r="H349" s="212"/>
      <c r="I349" s="212"/>
      <c r="J349" s="212"/>
      <c r="K349" s="212"/>
      <c r="L349" s="212"/>
      <c r="M349" s="212"/>
      <c r="N349" s="212"/>
      <c r="O349" s="212"/>
      <c r="P349" s="212"/>
      <c r="Q349" s="212"/>
      <c r="R349" s="212"/>
      <c r="S349" s="212">
        <f t="shared" si="153"/>
        <v>50</v>
      </c>
      <c r="T349" s="212">
        <f>IF(SMALL(S349:$S$351,1+$T357)=T348,SMALL(S349:$S$351,2+$T357),SMALL(S349:$S$351,1+$T357))</f>
        <v>50</v>
      </c>
      <c r="U349" s="212">
        <f t="shared" si="154"/>
        <v>50</v>
      </c>
      <c r="V349" s="212">
        <f t="shared" si="155"/>
        <v>50</v>
      </c>
      <c r="W349" s="212">
        <f t="shared" si="156"/>
        <v>50</v>
      </c>
      <c r="X349" s="212"/>
      <c r="Y349" s="212"/>
      <c r="Z349" s="212"/>
      <c r="AA349" s="212"/>
      <c r="AB349" s="212"/>
      <c r="AC349" s="212"/>
      <c r="AD349" s="212"/>
      <c r="AE349" s="212"/>
      <c r="AF349" s="212"/>
      <c r="AG349" s="212"/>
      <c r="AH349" s="212"/>
      <c r="AI349" s="212"/>
      <c r="AJ349" s="212"/>
      <c r="AK349" s="212"/>
      <c r="AL349" s="212"/>
      <c r="AM349" s="212"/>
      <c r="AN349" s="212"/>
      <c r="AO349" s="212"/>
      <c r="AP349" s="212"/>
      <c r="AQ349" s="212"/>
    </row>
    <row r="350" spans="1:43" s="208" customFormat="1" ht="12.75">
      <c r="A350" s="212">
        <f t="shared" si="149"/>
        <v>0</v>
      </c>
      <c r="B350" s="212">
        <f t="shared" si="148"/>
        <v>0</v>
      </c>
      <c r="C350" s="212">
        <f t="shared" si="150"/>
        <v>0</v>
      </c>
      <c r="D350" s="212">
        <f t="shared" si="151"/>
        <v>0</v>
      </c>
      <c r="E350" s="212">
        <f t="shared" si="152"/>
        <v>0</v>
      </c>
      <c r="F350" s="212"/>
      <c r="G350" s="212"/>
      <c r="H350" s="212"/>
      <c r="I350" s="212"/>
      <c r="J350" s="212"/>
      <c r="K350" s="212"/>
      <c r="L350" s="212"/>
      <c r="M350" s="212"/>
      <c r="N350" s="212"/>
      <c r="O350" s="212"/>
      <c r="P350" s="212"/>
      <c r="Q350" s="212"/>
      <c r="R350" s="212"/>
      <c r="S350" s="212">
        <f t="shared" si="153"/>
        <v>100</v>
      </c>
      <c r="T350" s="212">
        <f>IF(SMALL(S350:$S$351,1+$T358)=T349,SMALL(S350:$S$351,2+$T358),SMALL(S350:$S$351,1+$T358))</f>
        <v>100</v>
      </c>
      <c r="U350" s="212">
        <f t="shared" si="154"/>
        <v>100</v>
      </c>
      <c r="V350" s="212">
        <f t="shared" si="155"/>
        <v>50</v>
      </c>
      <c r="W350" s="212">
        <f t="shared" si="156"/>
        <v>50</v>
      </c>
      <c r="X350" s="212"/>
      <c r="Y350" s="212"/>
      <c r="Z350" s="212"/>
      <c r="AA350" s="212"/>
      <c r="AB350" s="212"/>
      <c r="AC350" s="212"/>
      <c r="AD350" s="212"/>
      <c r="AE350" s="212"/>
      <c r="AF350" s="212"/>
      <c r="AG350" s="212"/>
      <c r="AH350" s="212"/>
      <c r="AI350" s="212"/>
      <c r="AJ350" s="212"/>
      <c r="AK350" s="212"/>
      <c r="AL350" s="212"/>
      <c r="AM350" s="212"/>
      <c r="AN350" s="212"/>
      <c r="AO350" s="212"/>
      <c r="AP350" s="212"/>
      <c r="AQ350" s="212"/>
    </row>
    <row r="351" spans="1:43" s="208" customFormat="1" ht="12.75">
      <c r="A351" s="212"/>
      <c r="B351" s="212"/>
      <c r="C351" s="212"/>
      <c r="D351" s="232" t="s">
        <v>82</v>
      </c>
      <c r="E351" s="232" t="s">
        <v>83</v>
      </c>
      <c r="F351" s="212"/>
      <c r="G351" s="212"/>
      <c r="H351" s="212"/>
      <c r="I351" s="212"/>
      <c r="J351" s="212"/>
      <c r="K351" s="212"/>
      <c r="L351" s="212"/>
      <c r="M351" s="212"/>
      <c r="N351" s="212"/>
      <c r="O351" s="212"/>
      <c r="P351" s="212"/>
      <c r="Q351" s="212"/>
      <c r="R351" s="212"/>
      <c r="S351" s="212">
        <f t="shared" si="153"/>
        <v>0</v>
      </c>
      <c r="T351" s="212" t="e">
        <f>IF(SMALL(S351:$S$351,1+$T359)=T350,SMALL(S351:$S$351,2+$T359),SMALL(S351:$S$351,1+$T359))</f>
        <v>#NUM!</v>
      </c>
      <c r="U351" s="212">
        <f t="shared" si="154"/>
        <v>0</v>
      </c>
      <c r="V351" s="212">
        <f t="shared" si="155"/>
        <v>0</v>
      </c>
      <c r="W351" s="212">
        <f t="shared" si="156"/>
        <v>0</v>
      </c>
      <c r="X351" s="212"/>
      <c r="Y351" s="212"/>
      <c r="Z351" s="212"/>
      <c r="AA351" s="212"/>
      <c r="AB351" s="212"/>
      <c r="AC351" s="212"/>
      <c r="AD351" s="212"/>
      <c r="AE351" s="212"/>
      <c r="AF351" s="212"/>
      <c r="AG351" s="212"/>
      <c r="AH351" s="212"/>
      <c r="AI351" s="212"/>
      <c r="AJ351" s="212"/>
      <c r="AK351" s="212"/>
      <c r="AL351" s="212"/>
      <c r="AM351" s="212"/>
      <c r="AN351" s="212"/>
      <c r="AO351" s="212"/>
      <c r="AP351" s="212"/>
      <c r="AQ351" s="212"/>
    </row>
    <row r="352" spans="1:43" s="208" customFormat="1" ht="12.75">
      <c r="A352" s="212"/>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row>
    <row r="353" spans="1:43" s="208" customFormat="1" ht="12.75">
      <c r="A353" s="212"/>
      <c r="B353" s="212"/>
      <c r="C353" s="212"/>
      <c r="D353" s="212"/>
      <c r="E353" s="212"/>
      <c r="F353" s="212"/>
      <c r="G353" s="212"/>
      <c r="H353" s="212"/>
      <c r="I353" s="212"/>
      <c r="J353" s="212"/>
      <c r="K353" s="212"/>
      <c r="L353" s="212"/>
      <c r="M353" s="212"/>
      <c r="N353" s="212"/>
      <c r="O353" s="212"/>
      <c r="P353" s="212"/>
      <c r="Q353" s="212"/>
      <c r="R353" s="212"/>
      <c r="S353" s="212"/>
      <c r="T353" s="212">
        <f>COUNTIF($S345:$S$351,0)</f>
        <v>1</v>
      </c>
      <c r="U353" s="212"/>
      <c r="V353" s="212">
        <f>COUNTIF($V345:$V$351,0)</f>
        <v>1</v>
      </c>
      <c r="W353" s="212"/>
      <c r="X353" s="212"/>
      <c r="Y353" s="212"/>
      <c r="Z353" s="212"/>
      <c r="AA353" s="212"/>
      <c r="AB353" s="212"/>
      <c r="AC353" s="212"/>
      <c r="AD353" s="212"/>
      <c r="AE353" s="212"/>
      <c r="AF353" s="212"/>
      <c r="AG353" s="212"/>
      <c r="AH353" s="212"/>
      <c r="AI353" s="212"/>
      <c r="AJ353" s="212"/>
      <c r="AK353" s="212"/>
      <c r="AL353" s="212"/>
      <c r="AM353" s="212"/>
      <c r="AN353" s="212"/>
      <c r="AO353" s="212"/>
      <c r="AP353" s="212"/>
      <c r="AQ353" s="212"/>
    </row>
    <row r="354" spans="1:43" s="208" customFormat="1" ht="12.75">
      <c r="A354" s="212"/>
      <c r="B354" s="212"/>
      <c r="C354" s="212"/>
      <c r="D354" s="212"/>
      <c r="E354" s="212"/>
      <c r="F354" s="212"/>
      <c r="G354" s="212"/>
      <c r="H354" s="212"/>
      <c r="I354" s="212"/>
      <c r="J354" s="212"/>
      <c r="K354" s="212"/>
      <c r="L354" s="212"/>
      <c r="M354" s="212"/>
      <c r="N354" s="212"/>
      <c r="O354" s="212"/>
      <c r="P354" s="212"/>
      <c r="Q354" s="212"/>
      <c r="R354" s="212"/>
      <c r="S354" s="212"/>
      <c r="T354" s="212">
        <f>COUNTIF($S346:$S$351,0)</f>
        <v>1</v>
      </c>
      <c r="U354" s="212"/>
      <c r="V354" s="212">
        <f>COUNTIF($V346:$V$351,0)</f>
        <v>1</v>
      </c>
      <c r="W354" s="212"/>
      <c r="X354" s="212"/>
      <c r="Y354" s="212"/>
      <c r="Z354" s="212"/>
      <c r="AA354" s="212"/>
      <c r="AB354" s="212"/>
      <c r="AC354" s="212"/>
      <c r="AD354" s="212"/>
      <c r="AE354" s="212"/>
      <c r="AF354" s="212"/>
      <c r="AG354" s="212"/>
      <c r="AH354" s="212"/>
      <c r="AI354" s="212"/>
      <c r="AJ354" s="212"/>
      <c r="AK354" s="212"/>
      <c r="AL354" s="212"/>
      <c r="AM354" s="212"/>
      <c r="AN354" s="212"/>
      <c r="AO354" s="212"/>
      <c r="AP354" s="212"/>
      <c r="AQ354" s="212"/>
    </row>
    <row r="355" spans="1:43" s="208" customFormat="1" ht="12.75">
      <c r="A355" s="212"/>
      <c r="B355" s="212"/>
      <c r="C355" s="212"/>
      <c r="D355" s="212"/>
      <c r="E355" s="212"/>
      <c r="F355" s="212"/>
      <c r="G355" s="212"/>
      <c r="H355" s="212"/>
      <c r="I355" s="212"/>
      <c r="J355" s="212"/>
      <c r="K355" s="212"/>
      <c r="L355" s="212"/>
      <c r="M355" s="212"/>
      <c r="N355" s="212"/>
      <c r="O355" s="212"/>
      <c r="P355" s="212"/>
      <c r="Q355" s="212"/>
      <c r="R355" s="212"/>
      <c r="S355" s="212"/>
      <c r="T355" s="212">
        <f>COUNTIF($S347:$S$351,0)</f>
        <v>1</v>
      </c>
      <c r="U355" s="212"/>
      <c r="V355" s="212">
        <f>COUNTIF($V347:$V$351,0)</f>
        <v>1</v>
      </c>
      <c r="W355" s="212"/>
      <c r="X355" s="212"/>
      <c r="Y355" s="212"/>
      <c r="Z355" s="212"/>
      <c r="AA355" s="212"/>
      <c r="AB355" s="212"/>
      <c r="AC355" s="212"/>
      <c r="AD355" s="212"/>
      <c r="AE355" s="212"/>
      <c r="AF355" s="212"/>
      <c r="AG355" s="212"/>
      <c r="AH355" s="212"/>
      <c r="AI355" s="212"/>
      <c r="AJ355" s="212"/>
      <c r="AK355" s="212"/>
      <c r="AL355" s="212"/>
      <c r="AM355" s="212"/>
      <c r="AN355" s="212"/>
      <c r="AO355" s="212"/>
      <c r="AP355" s="212"/>
      <c r="AQ355" s="212"/>
    </row>
    <row r="356" spans="1:43" s="208" customFormat="1" ht="12.75">
      <c r="A356" s="212"/>
      <c r="B356" s="212"/>
      <c r="C356" s="212"/>
      <c r="D356" s="212"/>
      <c r="E356" s="212"/>
      <c r="F356" s="212"/>
      <c r="G356" s="212"/>
      <c r="H356" s="212"/>
      <c r="I356" s="212"/>
      <c r="J356" s="212"/>
      <c r="K356" s="212"/>
      <c r="L356" s="212"/>
      <c r="M356" s="212"/>
      <c r="N356" s="212"/>
      <c r="O356" s="212"/>
      <c r="P356" s="212"/>
      <c r="Q356" s="212"/>
      <c r="R356" s="212"/>
      <c r="S356" s="212"/>
      <c r="T356" s="212">
        <f>COUNTIF($S348:$S$351,0)</f>
        <v>1</v>
      </c>
      <c r="U356" s="212"/>
      <c r="V356" s="212">
        <f>COUNTIF($V348:$V$351,0)</f>
        <v>1</v>
      </c>
      <c r="W356" s="212"/>
      <c r="X356" s="212"/>
      <c r="Y356" s="212"/>
      <c r="Z356" s="212"/>
      <c r="AA356" s="212"/>
      <c r="AB356" s="212"/>
      <c r="AC356" s="212"/>
      <c r="AD356" s="212"/>
      <c r="AE356" s="212"/>
      <c r="AF356" s="212"/>
      <c r="AG356" s="212"/>
      <c r="AH356" s="212"/>
      <c r="AI356" s="212"/>
      <c r="AJ356" s="212"/>
      <c r="AK356" s="212"/>
      <c r="AL356" s="212"/>
      <c r="AM356" s="212"/>
      <c r="AN356" s="212"/>
      <c r="AO356" s="212"/>
      <c r="AP356" s="212"/>
      <c r="AQ356" s="212"/>
    </row>
    <row r="357" spans="1:43" s="208" customFormat="1" ht="12.75">
      <c r="A357" s="212"/>
      <c r="B357" s="212"/>
      <c r="C357" s="212"/>
      <c r="D357" s="212"/>
      <c r="E357" s="212"/>
      <c r="F357" s="212"/>
      <c r="G357" s="212"/>
      <c r="H357" s="212"/>
      <c r="I357" s="212"/>
      <c r="J357" s="212"/>
      <c r="K357" s="212"/>
      <c r="L357" s="212"/>
      <c r="M357" s="212"/>
      <c r="N357" s="212"/>
      <c r="O357" s="212"/>
      <c r="P357" s="212"/>
      <c r="Q357" s="212"/>
      <c r="R357" s="212"/>
      <c r="S357" s="212"/>
      <c r="T357" s="212">
        <f>COUNTIF($S349:$S$351,0)</f>
        <v>1</v>
      </c>
      <c r="U357" s="212"/>
      <c r="V357" s="212">
        <f>COUNTIF($V349:$V$351,0)</f>
        <v>1</v>
      </c>
      <c r="W357" s="212"/>
      <c r="X357" s="212"/>
      <c r="Y357" s="212"/>
      <c r="Z357" s="212"/>
      <c r="AA357" s="212"/>
      <c r="AB357" s="212"/>
      <c r="AC357" s="212"/>
      <c r="AD357" s="212"/>
      <c r="AE357" s="212"/>
      <c r="AF357" s="212"/>
      <c r="AG357" s="212"/>
      <c r="AH357" s="212"/>
      <c r="AI357" s="212"/>
      <c r="AJ357" s="212"/>
      <c r="AK357" s="212"/>
      <c r="AL357" s="212"/>
      <c r="AM357" s="212"/>
      <c r="AN357" s="212"/>
      <c r="AO357" s="212"/>
      <c r="AP357" s="212"/>
      <c r="AQ357" s="212"/>
    </row>
    <row r="358" spans="1:43" s="208" customFormat="1" ht="12.75">
      <c r="A358" s="212"/>
      <c r="B358" s="212"/>
      <c r="C358" s="212"/>
      <c r="D358" s="212"/>
      <c r="E358" s="212"/>
      <c r="F358" s="212"/>
      <c r="G358" s="212"/>
      <c r="H358" s="212"/>
      <c r="I358" s="212"/>
      <c r="J358" s="212"/>
      <c r="K358" s="212"/>
      <c r="L358" s="212"/>
      <c r="M358" s="212"/>
      <c r="N358" s="212"/>
      <c r="O358" s="212"/>
      <c r="P358" s="212"/>
      <c r="Q358" s="212"/>
      <c r="R358" s="212"/>
      <c r="S358" s="212"/>
      <c r="T358" s="212">
        <f>COUNTIF($S350:$S$351,0)</f>
        <v>1</v>
      </c>
      <c r="U358" s="212"/>
      <c r="V358" s="212">
        <f>COUNTIF($V350:$V$351,0)</f>
        <v>1</v>
      </c>
      <c r="W358" s="212"/>
      <c r="X358" s="212"/>
      <c r="Y358" s="212"/>
      <c r="Z358" s="212"/>
      <c r="AA358" s="212"/>
      <c r="AB358" s="212"/>
      <c r="AC358" s="212"/>
      <c r="AD358" s="212"/>
      <c r="AE358" s="212"/>
      <c r="AF358" s="212"/>
      <c r="AG358" s="212"/>
      <c r="AH358" s="212"/>
      <c r="AI358" s="212"/>
      <c r="AJ358" s="212"/>
      <c r="AK358" s="212"/>
      <c r="AL358" s="212"/>
      <c r="AM358" s="212"/>
      <c r="AN358" s="212"/>
      <c r="AO358" s="212"/>
      <c r="AP358" s="212"/>
      <c r="AQ358" s="212"/>
    </row>
    <row r="359" spans="1:43" s="208" customFormat="1" ht="12.75">
      <c r="A359" s="212"/>
      <c r="B359" s="212"/>
      <c r="C359" s="212"/>
      <c r="D359" s="212"/>
      <c r="E359" s="212"/>
      <c r="F359" s="212"/>
      <c r="G359" s="212"/>
      <c r="H359" s="212"/>
      <c r="I359" s="212"/>
      <c r="J359" s="212"/>
      <c r="K359" s="212"/>
      <c r="L359" s="212"/>
      <c r="M359" s="212"/>
      <c r="N359" s="212"/>
      <c r="O359" s="212"/>
      <c r="P359" s="212"/>
      <c r="Q359" s="212"/>
      <c r="R359" s="212"/>
      <c r="S359" s="212"/>
      <c r="T359" s="212">
        <f>COUNTIF($S351:$S$351,0)</f>
        <v>1</v>
      </c>
      <c r="U359" s="212"/>
      <c r="V359" s="212">
        <f>COUNTIF($V351:$V$351,0)</f>
        <v>1</v>
      </c>
      <c r="W359" s="212"/>
      <c r="X359" s="212"/>
      <c r="Y359" s="212"/>
      <c r="Z359" s="212"/>
      <c r="AA359" s="212"/>
      <c r="AB359" s="212"/>
      <c r="AC359" s="212"/>
      <c r="AD359" s="212"/>
      <c r="AE359" s="212"/>
      <c r="AF359" s="212"/>
      <c r="AG359" s="212"/>
      <c r="AH359" s="212"/>
      <c r="AI359" s="212"/>
      <c r="AJ359" s="212"/>
      <c r="AK359" s="212"/>
      <c r="AL359" s="212"/>
      <c r="AM359" s="212"/>
      <c r="AN359" s="212"/>
      <c r="AO359" s="212"/>
      <c r="AP359" s="212"/>
      <c r="AQ359" s="212"/>
    </row>
    <row r="360" spans="1:43" s="208" customFormat="1" ht="15.75">
      <c r="A360" s="238" t="s">
        <v>136</v>
      </c>
      <c r="B360" s="238"/>
      <c r="C360" s="238"/>
      <c r="D360" s="238"/>
      <c r="E360" s="238"/>
      <c r="F360" s="238"/>
      <c r="G360" s="238"/>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2"/>
      <c r="AE360" s="212"/>
      <c r="AF360" s="212"/>
      <c r="AG360" s="212"/>
      <c r="AH360" s="212"/>
      <c r="AI360" s="212"/>
      <c r="AJ360" s="212"/>
      <c r="AK360" s="212"/>
      <c r="AL360" s="212"/>
      <c r="AM360" s="212"/>
      <c r="AN360" s="212"/>
      <c r="AO360" s="212"/>
      <c r="AP360" s="212"/>
      <c r="AQ360" s="212"/>
    </row>
    <row r="361" spans="1:43" s="208" customFormat="1" ht="12.75">
      <c r="A361" s="212"/>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2"/>
      <c r="AE361" s="212"/>
      <c r="AF361" s="212"/>
      <c r="AG361" s="212"/>
      <c r="AH361" s="212"/>
      <c r="AI361" s="212"/>
      <c r="AJ361" s="212"/>
      <c r="AK361" s="212"/>
      <c r="AL361" s="212"/>
      <c r="AM361" s="212"/>
      <c r="AN361" s="212"/>
      <c r="AO361" s="212"/>
      <c r="AP361" s="212"/>
      <c r="AQ361" s="212"/>
    </row>
    <row r="362" spans="1:43" s="208" customFormat="1" ht="12.75">
      <c r="A362" s="219" t="str">
        <f>A12:D12</f>
        <v>Couleurs</v>
      </c>
      <c r="B362" s="219" t="str">
        <f>B12</f>
        <v>Valeur</v>
      </c>
      <c r="C362" s="219" t="str">
        <f>C12</f>
        <v>Nombre</v>
      </c>
      <c r="D362" s="219" t="str">
        <f>D12</f>
        <v>Valeur TOTAL</v>
      </c>
      <c r="E362" s="219" t="s">
        <v>137</v>
      </c>
      <c r="F362" s="219" t="s">
        <v>138</v>
      </c>
      <c r="G362" s="219" t="s">
        <v>137</v>
      </c>
      <c r="H362" s="219" t="s">
        <v>138</v>
      </c>
      <c r="I362" s="219" t="s">
        <v>137</v>
      </c>
      <c r="J362" s="219" t="s">
        <v>138</v>
      </c>
      <c r="K362" s="219" t="s">
        <v>137</v>
      </c>
      <c r="L362" s="219" t="s">
        <v>138</v>
      </c>
      <c r="M362" s="219" t="s">
        <v>137</v>
      </c>
      <c r="N362" s="219" t="s">
        <v>138</v>
      </c>
      <c r="O362" s="219" t="s">
        <v>137</v>
      </c>
      <c r="P362" s="219" t="s">
        <v>138</v>
      </c>
      <c r="Q362" s="219" t="s">
        <v>137</v>
      </c>
      <c r="R362" s="219" t="s">
        <v>138</v>
      </c>
      <c r="S362" s="219" t="s">
        <v>139</v>
      </c>
      <c r="T362" s="219" t="s">
        <v>139</v>
      </c>
      <c r="U362" s="219" t="s">
        <v>147</v>
      </c>
      <c r="V362" s="219" t="s">
        <v>5</v>
      </c>
      <c r="W362" s="219"/>
      <c r="X362" s="219"/>
      <c r="Y362" s="219" t="s">
        <v>151</v>
      </c>
      <c r="Z362" s="219" t="s">
        <v>151</v>
      </c>
      <c r="AA362" s="219" t="s">
        <v>152</v>
      </c>
      <c r="AB362" s="219" t="s">
        <v>152</v>
      </c>
      <c r="AC362" s="219" t="s">
        <v>153</v>
      </c>
      <c r="AD362" s="219" t="s">
        <v>153</v>
      </c>
      <c r="AE362" s="219" t="s">
        <v>154</v>
      </c>
      <c r="AF362" s="219" t="s">
        <v>154</v>
      </c>
      <c r="AG362" s="219" t="s">
        <v>155</v>
      </c>
      <c r="AH362" s="219" t="s">
        <v>155</v>
      </c>
      <c r="AI362" s="219" t="s">
        <v>156</v>
      </c>
      <c r="AJ362" s="219" t="s">
        <v>156</v>
      </c>
      <c r="AK362" s="219" t="s">
        <v>157</v>
      </c>
      <c r="AL362" s="219" t="s">
        <v>157</v>
      </c>
      <c r="AM362" s="219" t="s">
        <v>158</v>
      </c>
      <c r="AN362" s="219" t="s">
        <v>158</v>
      </c>
      <c r="AO362" s="219" t="s">
        <v>158</v>
      </c>
      <c r="AP362" s="212"/>
      <c r="AQ362" s="212"/>
    </row>
    <row r="363" spans="1:43" s="208" customFormat="1" ht="12.75">
      <c r="A363" s="219"/>
      <c r="B363" s="219" t="str">
        <f aca="true" t="shared" si="157" ref="B363:D371">B13</f>
        <v>Jeton</v>
      </c>
      <c r="C363" s="219" t="str">
        <f t="shared" si="157"/>
        <v>Jetons</v>
      </c>
      <c r="D363" s="219" t="str">
        <f t="shared" si="157"/>
        <v>Fictive</v>
      </c>
      <c r="E363" s="219">
        <v>1</v>
      </c>
      <c r="F363" s="219">
        <v>1</v>
      </c>
      <c r="G363" s="219">
        <v>2</v>
      </c>
      <c r="H363" s="219">
        <v>2</v>
      </c>
      <c r="I363" s="219">
        <v>3</v>
      </c>
      <c r="J363" s="219">
        <v>3</v>
      </c>
      <c r="K363" s="219">
        <v>4</v>
      </c>
      <c r="L363" s="219">
        <v>4</v>
      </c>
      <c r="M363" s="219">
        <v>5</v>
      </c>
      <c r="N363" s="219">
        <v>5</v>
      </c>
      <c r="O363" s="219">
        <v>6</v>
      </c>
      <c r="P363" s="219">
        <v>6</v>
      </c>
      <c r="Q363" s="219">
        <v>7</v>
      </c>
      <c r="R363" s="219">
        <v>7</v>
      </c>
      <c r="S363" s="219" t="s">
        <v>140</v>
      </c>
      <c r="T363" s="219" t="s">
        <v>141</v>
      </c>
      <c r="U363" s="219" t="s">
        <v>90</v>
      </c>
      <c r="V363" s="219" t="s">
        <v>148</v>
      </c>
      <c r="W363" s="212" t="s">
        <v>149</v>
      </c>
      <c r="X363" s="212" t="s">
        <v>150</v>
      </c>
      <c r="Y363" s="219"/>
      <c r="Z363" s="219" t="s">
        <v>151</v>
      </c>
      <c r="AA363" s="212"/>
      <c r="AB363" s="219" t="s">
        <v>152</v>
      </c>
      <c r="AC363" s="212"/>
      <c r="AD363" s="219" t="s">
        <v>153</v>
      </c>
      <c r="AE363" s="212"/>
      <c r="AF363" s="219" t="s">
        <v>154</v>
      </c>
      <c r="AG363" s="212"/>
      <c r="AH363" s="219" t="s">
        <v>155</v>
      </c>
      <c r="AI363" s="212"/>
      <c r="AJ363" s="219" t="s">
        <v>156</v>
      </c>
      <c r="AK363" s="212"/>
      <c r="AL363" s="219" t="s">
        <v>157</v>
      </c>
      <c r="AM363" s="219" t="s">
        <v>159</v>
      </c>
      <c r="AN363" s="219" t="s">
        <v>160</v>
      </c>
      <c r="AO363" s="219" t="s">
        <v>161</v>
      </c>
      <c r="AP363" s="212"/>
      <c r="AQ363" s="212"/>
    </row>
    <row r="364" spans="1:43" s="208" customFormat="1" ht="12.75">
      <c r="A364" s="212" t="str">
        <f aca="true" t="shared" si="158" ref="A364:A371">A14:D14</f>
        <v>BLANC</v>
      </c>
      <c r="B364" s="212">
        <f t="shared" si="157"/>
        <v>1</v>
      </c>
      <c r="C364" s="212">
        <f t="shared" si="157"/>
        <v>100</v>
      </c>
      <c r="D364" s="212">
        <f t="shared" si="157"/>
        <v>100</v>
      </c>
      <c r="E364" s="212">
        <f>MIN($B$364:$B$370)</f>
        <v>1</v>
      </c>
      <c r="F364" s="236">
        <f>IF($E$364=B364,50000,B364)</f>
        <v>50000</v>
      </c>
      <c r="G364" s="212">
        <f>MIN(F364:F370)</f>
        <v>5</v>
      </c>
      <c r="H364" s="212">
        <f>IF(F364=50000,50000,IF($G$364=B364,50000,B364))</f>
        <v>50000</v>
      </c>
      <c r="I364" s="212">
        <f>MIN(H364:H370)</f>
        <v>10</v>
      </c>
      <c r="J364" s="212">
        <f>IF(H364=50000,50000,IF(I$364=$B364,50000,$B364))</f>
        <v>50000</v>
      </c>
      <c r="K364" s="212">
        <f>MIN(J364:J370)</f>
        <v>25</v>
      </c>
      <c r="L364" s="212">
        <f>IF(J364=50000,50000,IF(K$364=$B364,50000,$B364))</f>
        <v>50000</v>
      </c>
      <c r="M364" s="212">
        <f>MIN(L364:L370)</f>
        <v>50</v>
      </c>
      <c r="N364" s="212">
        <f>IF(L364=50000,50000,IF(M$364=$B364,50000,$B364))</f>
        <v>50000</v>
      </c>
      <c r="O364" s="212">
        <f>MIN(N364:N370)</f>
        <v>100</v>
      </c>
      <c r="P364" s="212">
        <f>IF(N364=50000,50000,IF(O$364=$B364,50000,$B364))</f>
        <v>50000</v>
      </c>
      <c r="Q364" s="212">
        <f>MIN(P364:P370)</f>
        <v>500</v>
      </c>
      <c r="R364" s="212">
        <f>IF(P364=50000,50000,IF(Q$364=$B364,50000,$B364))</f>
        <v>50000</v>
      </c>
      <c r="S364" s="212">
        <f>E364</f>
        <v>1</v>
      </c>
      <c r="T364" s="212">
        <f>U345</f>
        <v>1</v>
      </c>
      <c r="U364" s="212">
        <f>W345</f>
        <v>100</v>
      </c>
      <c r="V364" s="212">
        <f>U364/$T$378</f>
        <v>16.666666666666668</v>
      </c>
      <c r="W364" s="219">
        <f aca="true" t="shared" si="159" ref="W364:W370">IF(T364=0,0,T364+T365)</f>
        <v>6</v>
      </c>
      <c r="X364" s="219">
        <f aca="true" t="shared" si="160" ref="X364:X370">IF(T364=0,0,T364*2)</f>
        <v>2</v>
      </c>
      <c r="Y364" s="212">
        <f>IF(T364=0,"A",T364)</f>
        <v>1</v>
      </c>
      <c r="Z364" s="219">
        <f>MIN(Y364:Y370)</f>
        <v>1</v>
      </c>
      <c r="AA364" s="212" t="str">
        <f>IF($Z$364=Y364,"A",Y364)</f>
        <v>A</v>
      </c>
      <c r="AB364" s="212" t="s">
        <v>146</v>
      </c>
      <c r="AC364" s="212" t="str">
        <f>IF($AB$365=AA364,"A",AA364)</f>
        <v>A</v>
      </c>
      <c r="AD364" s="212"/>
      <c r="AE364" s="212" t="str">
        <f>IF($AD$366=AC364,"A",AC364)</f>
        <v>A</v>
      </c>
      <c r="AF364" s="212"/>
      <c r="AG364" s="212" t="str">
        <f>IF($AF$367=AE364,"A",AE364)</f>
        <v>A</v>
      </c>
      <c r="AH364" s="212"/>
      <c r="AI364" s="212" t="str">
        <f>IF($AH$368=AG364,"A",AG364)</f>
        <v>A</v>
      </c>
      <c r="AJ364" s="212"/>
      <c r="AK364" s="212" t="str">
        <f>IF($AJ$369=AI364,"A",AI364)</f>
        <v>A</v>
      </c>
      <c r="AL364" s="212"/>
      <c r="AM364" s="212"/>
      <c r="AN364" s="212"/>
      <c r="AO364" s="212"/>
      <c r="AP364" s="212"/>
      <c r="AQ364" s="212"/>
    </row>
    <row r="365" spans="1:43" s="208" customFormat="1" ht="12.75">
      <c r="A365" s="212" t="str">
        <f t="shared" si="158"/>
        <v>ROUGE</v>
      </c>
      <c r="B365" s="212">
        <f t="shared" si="157"/>
        <v>5</v>
      </c>
      <c r="C365" s="212">
        <f t="shared" si="157"/>
        <v>100</v>
      </c>
      <c r="D365" s="212">
        <f t="shared" si="157"/>
        <v>500</v>
      </c>
      <c r="E365" s="212"/>
      <c r="F365" s="236">
        <f aca="true" t="shared" si="161" ref="F365:F370">IF($E$364=B365,"50000",B365)</f>
        <v>5</v>
      </c>
      <c r="G365" s="212"/>
      <c r="H365" s="212">
        <f aca="true" t="shared" si="162" ref="H365:H370">IF(F365=50000,50000,IF($G$364=B365,50000,B365))</f>
        <v>50000</v>
      </c>
      <c r="I365" s="212"/>
      <c r="J365" s="212">
        <f aca="true" t="shared" si="163" ref="J365:J370">IF(H365=50000,50000,IF(I$364=$B365,50000,$B365))</f>
        <v>50000</v>
      </c>
      <c r="K365" s="212"/>
      <c r="L365" s="212">
        <f aca="true" t="shared" si="164" ref="L365:L370">IF(J365=50000,50000,IF(K$364=$B365,50000,$B365))</f>
        <v>50000</v>
      </c>
      <c r="M365" s="212"/>
      <c r="N365" s="212">
        <f aca="true" t="shared" si="165" ref="N365:N370">IF(L365=50000,50000,IF(M$364=$B365,50000,$B365))</f>
        <v>50000</v>
      </c>
      <c r="O365" s="212"/>
      <c r="P365" s="212">
        <f aca="true" t="shared" si="166" ref="P365:P370">IF(N365=50000,50000,IF(O$364=$B365,50000,$B365))</f>
        <v>50000</v>
      </c>
      <c r="Q365" s="212"/>
      <c r="R365" s="212">
        <f aca="true" t="shared" si="167" ref="R365:R370">IF(P365=50000,50000,IF(Q$364=$B365,50000,$B365))</f>
        <v>50000</v>
      </c>
      <c r="S365" s="212">
        <f>G364</f>
        <v>5</v>
      </c>
      <c r="T365" s="212">
        <f aca="true" t="shared" si="168" ref="T365:T370">U346</f>
        <v>5</v>
      </c>
      <c r="U365" s="212">
        <f aca="true" t="shared" si="169" ref="U365:U370">W346</f>
        <v>100</v>
      </c>
      <c r="V365" s="212">
        <f aca="true" t="shared" si="170" ref="V365:V370">U365/$T$378</f>
        <v>16.666666666666668</v>
      </c>
      <c r="W365" s="219">
        <f t="shared" si="159"/>
        <v>15</v>
      </c>
      <c r="X365" s="219">
        <f t="shared" si="160"/>
        <v>10</v>
      </c>
      <c r="Y365" s="212">
        <f aca="true" t="shared" si="171" ref="Y365:Y370">IF(T365=0,"A",T365)</f>
        <v>5</v>
      </c>
      <c r="Z365" s="212" t="s">
        <v>146</v>
      </c>
      <c r="AA365" s="212">
        <f aca="true" t="shared" si="172" ref="AA365:AA370">IF($Z$364=Y365,"A",Y365)</f>
        <v>5</v>
      </c>
      <c r="AB365" s="219">
        <f>MIN(AA364:AA370)</f>
        <v>5</v>
      </c>
      <c r="AC365" s="212" t="str">
        <f aca="true" t="shared" si="173" ref="AC365:AC370">IF($AB$365=AA365,"A",AA365)</f>
        <v>A</v>
      </c>
      <c r="AD365" s="212"/>
      <c r="AE365" s="212" t="str">
        <f aca="true" t="shared" si="174" ref="AE365:AE370">IF($AD$366=AC365,"A",AC365)</f>
        <v>A</v>
      </c>
      <c r="AF365" s="212"/>
      <c r="AG365" s="212" t="str">
        <f aca="true" t="shared" si="175" ref="AG365:AG370">IF($AF$367=AE365,"A",AE365)</f>
        <v>A</v>
      </c>
      <c r="AH365" s="212"/>
      <c r="AI365" s="212" t="str">
        <f aca="true" t="shared" si="176" ref="AI365:AI370">IF($AH$368=AG365,"A",AG365)</f>
        <v>A</v>
      </c>
      <c r="AJ365" s="212"/>
      <c r="AK365" s="212" t="str">
        <f aca="true" t="shared" si="177" ref="AK365:AK370">IF($AJ$369=AI365,"A",AI365)</f>
        <v>A</v>
      </c>
      <c r="AL365" s="212"/>
      <c r="AM365" s="212"/>
      <c r="AN365" s="212"/>
      <c r="AO365" s="212"/>
      <c r="AP365" s="212"/>
      <c r="AQ365" s="212"/>
    </row>
    <row r="366" spans="1:43" s="208" customFormat="1" ht="12.75">
      <c r="A366" s="212" t="str">
        <f t="shared" si="158"/>
        <v>BLEU</v>
      </c>
      <c r="B366" s="212">
        <f t="shared" si="157"/>
        <v>10</v>
      </c>
      <c r="C366" s="212">
        <f t="shared" si="157"/>
        <v>100</v>
      </c>
      <c r="D366" s="212">
        <f t="shared" si="157"/>
        <v>1000</v>
      </c>
      <c r="E366" s="212"/>
      <c r="F366" s="236">
        <f t="shared" si="161"/>
        <v>10</v>
      </c>
      <c r="G366" s="212"/>
      <c r="H366" s="212">
        <f t="shared" si="162"/>
        <v>10</v>
      </c>
      <c r="I366" s="212"/>
      <c r="J366" s="212">
        <f t="shared" si="163"/>
        <v>50000</v>
      </c>
      <c r="K366" s="212"/>
      <c r="L366" s="212">
        <f t="shared" si="164"/>
        <v>50000</v>
      </c>
      <c r="M366" s="212"/>
      <c r="N366" s="212">
        <f t="shared" si="165"/>
        <v>50000</v>
      </c>
      <c r="O366" s="212"/>
      <c r="P366" s="212">
        <f t="shared" si="166"/>
        <v>50000</v>
      </c>
      <c r="Q366" s="212"/>
      <c r="R366" s="212">
        <f t="shared" si="167"/>
        <v>50000</v>
      </c>
      <c r="S366" s="212">
        <f>I364</f>
        <v>10</v>
      </c>
      <c r="T366" s="212">
        <f t="shared" si="168"/>
        <v>10</v>
      </c>
      <c r="U366" s="212">
        <f t="shared" si="169"/>
        <v>100</v>
      </c>
      <c r="V366" s="212">
        <f t="shared" si="170"/>
        <v>16.666666666666668</v>
      </c>
      <c r="W366" s="219">
        <f t="shared" si="159"/>
        <v>35</v>
      </c>
      <c r="X366" s="219">
        <f t="shared" si="160"/>
        <v>20</v>
      </c>
      <c r="Y366" s="212">
        <f t="shared" si="171"/>
        <v>10</v>
      </c>
      <c r="Z366" s="212" t="s">
        <v>146</v>
      </c>
      <c r="AA366" s="212">
        <f t="shared" si="172"/>
        <v>10</v>
      </c>
      <c r="AB366" s="212" t="s">
        <v>146</v>
      </c>
      <c r="AC366" s="212">
        <f t="shared" si="173"/>
        <v>10</v>
      </c>
      <c r="AD366" s="219">
        <f>MIN(AC364:AC370)</f>
        <v>10</v>
      </c>
      <c r="AE366" s="212" t="str">
        <f t="shared" si="174"/>
        <v>A</v>
      </c>
      <c r="AF366" s="212"/>
      <c r="AG366" s="212" t="str">
        <f t="shared" si="175"/>
        <v>A</v>
      </c>
      <c r="AH366" s="212"/>
      <c r="AI366" s="212" t="str">
        <f t="shared" si="176"/>
        <v>A</v>
      </c>
      <c r="AJ366" s="212"/>
      <c r="AK366" s="212" t="str">
        <f t="shared" si="177"/>
        <v>A</v>
      </c>
      <c r="AL366" s="212"/>
      <c r="AM366" s="212"/>
      <c r="AN366" s="212"/>
      <c r="AO366" s="212"/>
      <c r="AP366" s="212"/>
      <c r="AQ366" s="212"/>
    </row>
    <row r="367" spans="1:43" s="208" customFormat="1" ht="12.75">
      <c r="A367" s="212" t="str">
        <f t="shared" si="158"/>
        <v>VERT</v>
      </c>
      <c r="B367" s="212">
        <f t="shared" si="157"/>
        <v>25</v>
      </c>
      <c r="C367" s="212">
        <f t="shared" si="157"/>
        <v>100</v>
      </c>
      <c r="D367" s="212">
        <f t="shared" si="157"/>
        <v>2500</v>
      </c>
      <c r="E367" s="212"/>
      <c r="F367" s="236">
        <f t="shared" si="161"/>
        <v>25</v>
      </c>
      <c r="G367" s="212"/>
      <c r="H367" s="212">
        <f t="shared" si="162"/>
        <v>25</v>
      </c>
      <c r="I367" s="212"/>
      <c r="J367" s="212">
        <f t="shared" si="163"/>
        <v>25</v>
      </c>
      <c r="K367" s="212"/>
      <c r="L367" s="212">
        <f t="shared" si="164"/>
        <v>50000</v>
      </c>
      <c r="M367" s="212"/>
      <c r="N367" s="212">
        <f t="shared" si="165"/>
        <v>50000</v>
      </c>
      <c r="O367" s="212"/>
      <c r="P367" s="212">
        <f t="shared" si="166"/>
        <v>50000</v>
      </c>
      <c r="Q367" s="212"/>
      <c r="R367" s="212">
        <f t="shared" si="167"/>
        <v>50000</v>
      </c>
      <c r="S367" s="212">
        <f>K364</f>
        <v>25</v>
      </c>
      <c r="T367" s="212">
        <f t="shared" si="168"/>
        <v>25</v>
      </c>
      <c r="U367" s="212">
        <f t="shared" si="169"/>
        <v>100</v>
      </c>
      <c r="V367" s="212">
        <f t="shared" si="170"/>
        <v>16.666666666666668</v>
      </c>
      <c r="W367" s="219">
        <f t="shared" si="159"/>
        <v>75</v>
      </c>
      <c r="X367" s="219">
        <f t="shared" si="160"/>
        <v>50</v>
      </c>
      <c r="Y367" s="212">
        <f t="shared" si="171"/>
        <v>25</v>
      </c>
      <c r="Z367" s="212" t="s">
        <v>146</v>
      </c>
      <c r="AA367" s="212">
        <f t="shared" si="172"/>
        <v>25</v>
      </c>
      <c r="AB367" s="212" t="s">
        <v>146</v>
      </c>
      <c r="AC367" s="212">
        <f t="shared" si="173"/>
        <v>25</v>
      </c>
      <c r="AD367" s="212"/>
      <c r="AE367" s="212">
        <f t="shared" si="174"/>
        <v>25</v>
      </c>
      <c r="AF367" s="219">
        <f>MIN(AE364:AE370)</f>
        <v>25</v>
      </c>
      <c r="AG367" s="212" t="str">
        <f t="shared" si="175"/>
        <v>A</v>
      </c>
      <c r="AH367" s="212"/>
      <c r="AI367" s="212" t="str">
        <f t="shared" si="176"/>
        <v>A</v>
      </c>
      <c r="AJ367" s="212"/>
      <c r="AK367" s="212" t="str">
        <f t="shared" si="177"/>
        <v>A</v>
      </c>
      <c r="AL367" s="212"/>
      <c r="AM367" s="212"/>
      <c r="AN367" s="212"/>
      <c r="AO367" s="212"/>
      <c r="AP367" s="212"/>
      <c r="AQ367" s="212"/>
    </row>
    <row r="368" spans="1:43" s="208" customFormat="1" ht="12.75">
      <c r="A368" s="212" t="str">
        <f t="shared" si="158"/>
        <v>JAUNE</v>
      </c>
      <c r="B368" s="212">
        <f t="shared" si="157"/>
        <v>50</v>
      </c>
      <c r="C368" s="212">
        <f t="shared" si="157"/>
        <v>50</v>
      </c>
      <c r="D368" s="212">
        <f t="shared" si="157"/>
        <v>2500</v>
      </c>
      <c r="E368" s="212"/>
      <c r="F368" s="236">
        <f t="shared" si="161"/>
        <v>50</v>
      </c>
      <c r="G368" s="212"/>
      <c r="H368" s="212">
        <f t="shared" si="162"/>
        <v>50</v>
      </c>
      <c r="I368" s="212"/>
      <c r="J368" s="212">
        <f t="shared" si="163"/>
        <v>50</v>
      </c>
      <c r="K368" s="212"/>
      <c r="L368" s="212">
        <f t="shared" si="164"/>
        <v>50</v>
      </c>
      <c r="M368" s="212"/>
      <c r="N368" s="212">
        <f t="shared" si="165"/>
        <v>50000</v>
      </c>
      <c r="O368" s="212"/>
      <c r="P368" s="212">
        <f t="shared" si="166"/>
        <v>50000</v>
      </c>
      <c r="Q368" s="212"/>
      <c r="R368" s="212">
        <f t="shared" si="167"/>
        <v>50000</v>
      </c>
      <c r="S368" s="212">
        <f>M364</f>
        <v>50</v>
      </c>
      <c r="T368" s="212">
        <f t="shared" si="168"/>
        <v>50</v>
      </c>
      <c r="U368" s="212">
        <f t="shared" si="169"/>
        <v>50</v>
      </c>
      <c r="V368" s="212">
        <f t="shared" si="170"/>
        <v>8.333333333333334</v>
      </c>
      <c r="W368" s="219">
        <f t="shared" si="159"/>
        <v>150</v>
      </c>
      <c r="X368" s="219">
        <f t="shared" si="160"/>
        <v>100</v>
      </c>
      <c r="Y368" s="212">
        <f t="shared" si="171"/>
        <v>50</v>
      </c>
      <c r="Z368" s="212" t="s">
        <v>146</v>
      </c>
      <c r="AA368" s="212">
        <f t="shared" si="172"/>
        <v>50</v>
      </c>
      <c r="AB368" s="212" t="s">
        <v>146</v>
      </c>
      <c r="AC368" s="212">
        <f t="shared" si="173"/>
        <v>50</v>
      </c>
      <c r="AD368" s="212"/>
      <c r="AE368" s="212">
        <f t="shared" si="174"/>
        <v>50</v>
      </c>
      <c r="AF368" s="212"/>
      <c r="AG368" s="212">
        <f t="shared" si="175"/>
        <v>50</v>
      </c>
      <c r="AH368" s="219">
        <f>MIN(AG364:AG370)</f>
        <v>50</v>
      </c>
      <c r="AI368" s="212" t="str">
        <f t="shared" si="176"/>
        <v>A</v>
      </c>
      <c r="AJ368" s="212"/>
      <c r="AK368" s="212" t="str">
        <f t="shared" si="177"/>
        <v>A</v>
      </c>
      <c r="AL368" s="212"/>
      <c r="AM368" s="212"/>
      <c r="AN368" s="212"/>
      <c r="AO368" s="212"/>
      <c r="AP368" s="212"/>
      <c r="AQ368" s="212"/>
    </row>
    <row r="369" spans="1:43" s="208" customFormat="1" ht="12.75">
      <c r="A369" s="212" t="str">
        <f t="shared" si="158"/>
        <v>NOIR</v>
      </c>
      <c r="B369" s="212">
        <f t="shared" si="157"/>
        <v>100</v>
      </c>
      <c r="C369" s="212">
        <f t="shared" si="157"/>
        <v>50</v>
      </c>
      <c r="D369" s="212">
        <f t="shared" si="157"/>
        <v>5000</v>
      </c>
      <c r="E369" s="212"/>
      <c r="F369" s="236">
        <f t="shared" si="161"/>
        <v>100</v>
      </c>
      <c r="G369" s="212"/>
      <c r="H369" s="212">
        <f t="shared" si="162"/>
        <v>100</v>
      </c>
      <c r="I369" s="212"/>
      <c r="J369" s="212">
        <f t="shared" si="163"/>
        <v>100</v>
      </c>
      <c r="K369" s="212"/>
      <c r="L369" s="212">
        <f t="shared" si="164"/>
        <v>100</v>
      </c>
      <c r="M369" s="212"/>
      <c r="N369" s="212">
        <f t="shared" si="165"/>
        <v>100</v>
      </c>
      <c r="O369" s="212"/>
      <c r="P369" s="212">
        <f t="shared" si="166"/>
        <v>50000</v>
      </c>
      <c r="Q369" s="212"/>
      <c r="R369" s="212">
        <f t="shared" si="167"/>
        <v>50000</v>
      </c>
      <c r="S369" s="212">
        <f>O364</f>
        <v>100</v>
      </c>
      <c r="T369" s="212">
        <f t="shared" si="168"/>
        <v>100</v>
      </c>
      <c r="U369" s="212">
        <f t="shared" si="169"/>
        <v>50</v>
      </c>
      <c r="V369" s="212">
        <f t="shared" si="170"/>
        <v>8.333333333333334</v>
      </c>
      <c r="W369" s="219">
        <f t="shared" si="159"/>
        <v>100</v>
      </c>
      <c r="X369" s="219">
        <f t="shared" si="160"/>
        <v>200</v>
      </c>
      <c r="Y369" s="212">
        <f t="shared" si="171"/>
        <v>100</v>
      </c>
      <c r="Z369" s="212" t="s">
        <v>146</v>
      </c>
      <c r="AA369" s="212">
        <f t="shared" si="172"/>
        <v>100</v>
      </c>
      <c r="AB369" s="212" t="s">
        <v>146</v>
      </c>
      <c r="AC369" s="212">
        <f t="shared" si="173"/>
        <v>100</v>
      </c>
      <c r="AD369" s="212"/>
      <c r="AE369" s="212">
        <f t="shared" si="174"/>
        <v>100</v>
      </c>
      <c r="AF369" s="212"/>
      <c r="AG369" s="212">
        <f t="shared" si="175"/>
        <v>100</v>
      </c>
      <c r="AH369" s="212"/>
      <c r="AI369" s="212">
        <f t="shared" si="176"/>
        <v>100</v>
      </c>
      <c r="AJ369" s="219">
        <f>MIN(AI364:AI370)</f>
        <v>100</v>
      </c>
      <c r="AK369" s="212" t="str">
        <f t="shared" si="177"/>
        <v>A</v>
      </c>
      <c r="AL369" s="212"/>
      <c r="AM369" s="212"/>
      <c r="AN369" s="212"/>
      <c r="AO369" s="212"/>
      <c r="AP369" s="212"/>
      <c r="AQ369" s="212"/>
    </row>
    <row r="370" spans="1:43" s="208" customFormat="1" ht="12.75">
      <c r="A370" s="212" t="str">
        <f t="shared" si="158"/>
        <v>MAUVE</v>
      </c>
      <c r="B370" s="212">
        <f t="shared" si="157"/>
        <v>500</v>
      </c>
      <c r="C370" s="212">
        <f t="shared" si="157"/>
        <v>0</v>
      </c>
      <c r="D370" s="212">
        <f t="shared" si="157"/>
        <v>0</v>
      </c>
      <c r="E370" s="212"/>
      <c r="F370" s="236">
        <f t="shared" si="161"/>
        <v>500</v>
      </c>
      <c r="G370" s="212"/>
      <c r="H370" s="212">
        <f t="shared" si="162"/>
        <v>500</v>
      </c>
      <c r="I370" s="212"/>
      <c r="J370" s="212">
        <f t="shared" si="163"/>
        <v>500</v>
      </c>
      <c r="K370" s="212"/>
      <c r="L370" s="212">
        <f t="shared" si="164"/>
        <v>500</v>
      </c>
      <c r="M370" s="212"/>
      <c r="N370" s="212">
        <f t="shared" si="165"/>
        <v>500</v>
      </c>
      <c r="O370" s="212"/>
      <c r="P370" s="212">
        <f t="shared" si="166"/>
        <v>500</v>
      </c>
      <c r="Q370" s="212"/>
      <c r="R370" s="212">
        <f t="shared" si="167"/>
        <v>50000</v>
      </c>
      <c r="S370" s="212">
        <f>Q364</f>
        <v>500</v>
      </c>
      <c r="T370" s="212">
        <f t="shared" si="168"/>
        <v>0</v>
      </c>
      <c r="U370" s="212">
        <f t="shared" si="169"/>
        <v>0</v>
      </c>
      <c r="V370" s="212">
        <f t="shared" si="170"/>
        <v>0</v>
      </c>
      <c r="W370" s="219">
        <f t="shared" si="159"/>
        <v>0</v>
      </c>
      <c r="X370" s="219">
        <f t="shared" si="160"/>
        <v>0</v>
      </c>
      <c r="Y370" s="212" t="str">
        <f t="shared" si="171"/>
        <v>A</v>
      </c>
      <c r="Z370" s="212" t="s">
        <v>146</v>
      </c>
      <c r="AA370" s="212" t="str">
        <f t="shared" si="172"/>
        <v>A</v>
      </c>
      <c r="AB370" s="212" t="s">
        <v>146</v>
      </c>
      <c r="AC370" s="212" t="str">
        <f t="shared" si="173"/>
        <v>A</v>
      </c>
      <c r="AD370" s="212"/>
      <c r="AE370" s="212" t="str">
        <f t="shared" si="174"/>
        <v>A</v>
      </c>
      <c r="AF370" s="212"/>
      <c r="AG370" s="212" t="str">
        <f t="shared" si="175"/>
        <v>A</v>
      </c>
      <c r="AH370" s="212"/>
      <c r="AI370" s="212" t="str">
        <f t="shared" si="176"/>
        <v>A</v>
      </c>
      <c r="AJ370" s="212"/>
      <c r="AK370" s="212" t="str">
        <f t="shared" si="177"/>
        <v>A</v>
      </c>
      <c r="AL370" s="219">
        <f>MIN(AK364:AK370)</f>
        <v>0</v>
      </c>
      <c r="AM370" s="212"/>
      <c r="AN370" s="212"/>
      <c r="AO370" s="212"/>
      <c r="AP370" s="212"/>
      <c r="AQ370" s="212"/>
    </row>
    <row r="371" spans="1:43" s="208" customFormat="1" ht="12.75">
      <c r="A371" s="235" t="str">
        <f t="shared" si="158"/>
        <v>TOTAL</v>
      </c>
      <c r="B371" s="235">
        <f t="shared" si="157"/>
        <v>0</v>
      </c>
      <c r="C371" s="235">
        <f t="shared" si="157"/>
        <v>500</v>
      </c>
      <c r="D371" s="235">
        <f t="shared" si="157"/>
        <v>11600</v>
      </c>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9">
        <f>IF(MIN(Z364:Z370)=0,"",MIN(Z364:Z370))</f>
        <v>1</v>
      </c>
      <c r="AA371" s="219"/>
      <c r="AB371" s="219">
        <f aca="true" t="shared" si="178" ref="AB371:AL371">IF(MIN(AB364:AB370)=0,"",MIN(AB364:AB370))</f>
        <v>5</v>
      </c>
      <c r="AC371" s="219"/>
      <c r="AD371" s="219">
        <f t="shared" si="178"/>
        <v>10</v>
      </c>
      <c r="AE371" s="219"/>
      <c r="AF371" s="219">
        <f t="shared" si="178"/>
        <v>25</v>
      </c>
      <c r="AG371" s="219"/>
      <c r="AH371" s="219">
        <f t="shared" si="178"/>
        <v>50</v>
      </c>
      <c r="AI371" s="219"/>
      <c r="AJ371" s="219">
        <f t="shared" si="178"/>
        <v>100</v>
      </c>
      <c r="AK371" s="219"/>
      <c r="AL371" s="219">
        <f t="shared" si="178"/>
      </c>
      <c r="AM371" s="219">
        <f>(MIN(Z371:AL371))</f>
        <v>1</v>
      </c>
      <c r="AN371" s="219">
        <f>MAX(Z371:AL371)</f>
        <v>100</v>
      </c>
      <c r="AO371" s="219">
        <f>AN371*2</f>
        <v>200</v>
      </c>
      <c r="AP371" s="212"/>
      <c r="AQ371" s="212"/>
    </row>
    <row r="372" spans="1:43" s="208" customFormat="1" ht="12.75">
      <c r="A372" s="212"/>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9">
        <f>IF(FLOOR(Z364+AB365,5)=0,"",FLOOR(Z364+AB365,5))</f>
        <v>5</v>
      </c>
      <c r="AA372" s="219">
        <f>Z364*2</f>
        <v>2</v>
      </c>
      <c r="AB372" s="219">
        <f>IF(FLOOR(AB365+AD366,5)=0,"",FLOOR(AB365+AD366,5))</f>
        <v>15</v>
      </c>
      <c r="AC372" s="219">
        <f>AB365*2</f>
        <v>10</v>
      </c>
      <c r="AD372" s="219">
        <f>IF(FLOOR(AD366+AF367,5)=0,"",FLOOR(AD366+AF367,5))</f>
        <v>35</v>
      </c>
      <c r="AE372" s="219">
        <f>AD366*2</f>
        <v>20</v>
      </c>
      <c r="AF372" s="219">
        <f>IF(FLOOR(AF367+AH368,5)=0,"",FLOOR(AF367+AH368,5))</f>
        <v>75</v>
      </c>
      <c r="AG372" s="219">
        <f>AF367*2</f>
        <v>50</v>
      </c>
      <c r="AH372" s="219">
        <f>IF(FLOOR(AH368+AJ369,5)=0,"",FLOOR(AH368+AJ369,5))</f>
        <v>150</v>
      </c>
      <c r="AI372" s="219">
        <f>AH368*2</f>
        <v>100</v>
      </c>
      <c r="AJ372" s="219">
        <f>IF(FLOOR(AJ369+AL370,5)=0,"",FLOOR(AJ369+AL370,5))</f>
        <v>100</v>
      </c>
      <c r="AK372" s="219">
        <f>AJ369*2</f>
        <v>200</v>
      </c>
      <c r="AL372" s="219"/>
      <c r="AM372" s="212"/>
      <c r="AN372" s="212"/>
      <c r="AO372" s="212"/>
      <c r="AP372" s="212"/>
      <c r="AQ372" s="212"/>
    </row>
    <row r="373" spans="1:43" s="208" customFormat="1" ht="12.75">
      <c r="A373" s="212"/>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9">
        <f>IF(Z371=$X$399,"",Z371)</f>
      </c>
      <c r="AA373" s="219"/>
      <c r="AB373" s="219">
        <f>IF(AB371=$X$399,"",AB371)</f>
        <v>5</v>
      </c>
      <c r="AC373" s="219"/>
      <c r="AD373" s="219">
        <f>IF(AD371=$X$399,"",AD371)</f>
        <v>10</v>
      </c>
      <c r="AE373" s="219"/>
      <c r="AF373" s="219">
        <f>IF(AF371=$X$399,"",AF371)</f>
        <v>25</v>
      </c>
      <c r="AG373" s="219"/>
      <c r="AH373" s="219">
        <f>IF(AH371=$X$399,"",AH371)</f>
        <v>50</v>
      </c>
      <c r="AI373" s="219"/>
      <c r="AJ373" s="219">
        <f>IF(AJ371=$X$399,"",AJ371)</f>
        <v>100</v>
      </c>
      <c r="AK373" s="219"/>
      <c r="AL373" s="219">
        <f>IF(AL371=$X$399,"",AL371)</f>
      </c>
      <c r="AM373" s="219"/>
      <c r="AN373" s="212"/>
      <c r="AO373" s="212"/>
      <c r="AP373" s="212"/>
      <c r="AQ373" s="212"/>
    </row>
    <row r="374" spans="1:43" s="208" customFormat="1" ht="12.75">
      <c r="A374" s="212"/>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9">
        <f>IF(Z372=$X$399,"",Z372)</f>
        <v>5</v>
      </c>
      <c r="AA374" s="219"/>
      <c r="AB374" s="219">
        <f>IF(AB372=$X$399,"",AB372)</f>
        <v>15</v>
      </c>
      <c r="AC374" s="219"/>
      <c r="AD374" s="219">
        <f>IF(AD372=$X$399,"",AD372)</f>
        <v>35</v>
      </c>
      <c r="AE374" s="219"/>
      <c r="AF374" s="219">
        <f>IF(AF372=$X$399,"",AF372)</f>
        <v>75</v>
      </c>
      <c r="AG374" s="219"/>
      <c r="AH374" s="219">
        <f>IF(AH372=$X$399,"",AH372)</f>
        <v>150</v>
      </c>
      <c r="AI374" s="219"/>
      <c r="AJ374" s="219">
        <f>IF(AJ372=$X$399,"",AJ372)</f>
        <v>100</v>
      </c>
      <c r="AK374" s="219"/>
      <c r="AL374" s="219"/>
      <c r="AM374" s="219"/>
      <c r="AN374" s="212"/>
      <c r="AO374" s="212"/>
      <c r="AP374" s="212"/>
      <c r="AQ374" s="212"/>
    </row>
    <row r="375" spans="1:43" s="208" customFormat="1" ht="12.75">
      <c r="A375" s="212"/>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9">
        <f>IF(Z373=$X$400,"",Z373)</f>
      </c>
      <c r="AA375" s="219"/>
      <c r="AB375" s="219">
        <f>IF(AB373=$X$400,"",AB373)</f>
      </c>
      <c r="AC375" s="219"/>
      <c r="AD375" s="219">
        <f>IF(AD373=$X$400,"",AD373)</f>
        <v>10</v>
      </c>
      <c r="AE375" s="219"/>
      <c r="AF375" s="219">
        <f>IF(AF373=$X$400,"",AF373)</f>
        <v>25</v>
      </c>
      <c r="AG375" s="219"/>
      <c r="AH375" s="219">
        <f>IF(AH373=$X$400,"",AH373)</f>
        <v>50</v>
      </c>
      <c r="AI375" s="219"/>
      <c r="AJ375" s="219">
        <f>IF(AJ373=$X$400,"",AJ373)</f>
        <v>100</v>
      </c>
      <c r="AK375" s="219"/>
      <c r="AL375" s="219">
        <f>IF(AL373=$X$400,"",AL373)</f>
      </c>
      <c r="AM375" s="219"/>
      <c r="AN375" s="212"/>
      <c r="AO375" s="212"/>
      <c r="AP375" s="212"/>
      <c r="AQ375" s="212"/>
    </row>
    <row r="376" spans="1:43" s="208" customFormat="1" ht="12.75">
      <c r="A376" s="212"/>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9">
        <f>IF(Z374=$X$400,"",Z374)</f>
      </c>
      <c r="AA376" s="219"/>
      <c r="AB376" s="219">
        <f>IF(AB374=$X$400,"",AB374)</f>
        <v>15</v>
      </c>
      <c r="AC376" s="219"/>
      <c r="AD376" s="219">
        <f>IF(AD374=$X$400,"",AD374)</f>
        <v>35</v>
      </c>
      <c r="AE376" s="219"/>
      <c r="AF376" s="219">
        <f>IF(AF374=$X$400,"",AF374)</f>
        <v>75</v>
      </c>
      <c r="AG376" s="219"/>
      <c r="AH376" s="219">
        <f>IF(AH374=$X$400,"",AH374)</f>
        <v>150</v>
      </c>
      <c r="AI376" s="219"/>
      <c r="AJ376" s="219">
        <f>IF(AJ374=$X$400,"",AJ374)</f>
        <v>100</v>
      </c>
      <c r="AK376" s="219"/>
      <c r="AL376" s="219"/>
      <c r="AM376" s="219"/>
      <c r="AN376" s="212"/>
      <c r="AO376" s="212"/>
      <c r="AP376" s="212"/>
      <c r="AQ376" s="212"/>
    </row>
    <row r="377" spans="1:43" s="208" customFormat="1" ht="12.75">
      <c r="A377" s="212"/>
      <c r="B377" s="212"/>
      <c r="C377" s="212"/>
      <c r="D377" s="212"/>
      <c r="E377" s="212"/>
      <c r="F377" s="212"/>
      <c r="G377" s="212"/>
      <c r="H377" s="212"/>
      <c r="I377" s="212"/>
      <c r="J377" s="212"/>
      <c r="K377" s="212"/>
      <c r="L377" s="212"/>
      <c r="M377" s="212"/>
      <c r="N377" s="212"/>
      <c r="O377" s="212"/>
      <c r="P377" s="212"/>
      <c r="Q377" s="212"/>
      <c r="R377" s="212"/>
      <c r="S377" s="212" t="s">
        <v>144</v>
      </c>
      <c r="T377" s="212">
        <f>D200</f>
        <v>6</v>
      </c>
      <c r="U377" s="212"/>
      <c r="V377" s="212"/>
      <c r="W377" s="212"/>
      <c r="X377" s="212"/>
      <c r="Y377" s="212"/>
      <c r="Z377" s="219">
        <f>IF(Z375=$X$401,"",Z375)</f>
      </c>
      <c r="AA377" s="219"/>
      <c r="AB377" s="219">
        <f>IF(AB375=$X$401,"",AB375)</f>
      </c>
      <c r="AC377" s="219"/>
      <c r="AD377" s="219">
        <f>IF(AD375=$X$401,"",AD375)</f>
      </c>
      <c r="AE377" s="219"/>
      <c r="AF377" s="219">
        <f>IF(AF375=$X$401,"",AF375)</f>
        <v>25</v>
      </c>
      <c r="AG377" s="219"/>
      <c r="AH377" s="219">
        <f>IF(AH375=$X$401,"",AH375)</f>
        <v>50</v>
      </c>
      <c r="AI377" s="219"/>
      <c r="AJ377" s="219">
        <f>IF(AJ375=$X$401,"",AJ375)</f>
        <v>100</v>
      </c>
      <c r="AK377" s="219"/>
      <c r="AL377" s="219">
        <f>IF(AL375=$X$401,"",AL375)</f>
      </c>
      <c r="AM377" s="219"/>
      <c r="AN377" s="212"/>
      <c r="AO377" s="212"/>
      <c r="AP377" s="212"/>
      <c r="AQ377" s="212"/>
    </row>
    <row r="378" spans="1:43" s="208" customFormat="1" ht="12.75">
      <c r="A378" s="212"/>
      <c r="B378" s="212"/>
      <c r="C378" s="212"/>
      <c r="D378" s="212"/>
      <c r="E378" s="212"/>
      <c r="F378" s="212"/>
      <c r="G378" s="212"/>
      <c r="H378" s="212"/>
      <c r="I378" s="212"/>
      <c r="J378" s="212"/>
      <c r="K378" s="212"/>
      <c r="L378" s="212"/>
      <c r="M378" s="212"/>
      <c r="N378" s="212"/>
      <c r="O378" s="212"/>
      <c r="P378" s="212"/>
      <c r="Q378" s="212"/>
      <c r="R378" s="212"/>
      <c r="S378" s="212" t="s">
        <v>145</v>
      </c>
      <c r="T378" s="212">
        <f>D204</f>
        <v>6</v>
      </c>
      <c r="U378" s="212"/>
      <c r="V378" s="212"/>
      <c r="W378" s="212"/>
      <c r="X378" s="212"/>
      <c r="Y378" s="219"/>
      <c r="Z378" s="219">
        <f>IF(Z376=$X$401,"",Z376)</f>
      </c>
      <c r="AA378" s="219"/>
      <c r="AB378" s="219">
        <f>IF(AB376=$X$401,"",AB376)</f>
        <v>15</v>
      </c>
      <c r="AC378" s="219"/>
      <c r="AD378" s="219">
        <f>IF(AD376=$X$401,"",AD376)</f>
        <v>35</v>
      </c>
      <c r="AE378" s="219"/>
      <c r="AF378" s="219">
        <f>IF(AF376=$X$401,"",AF376)</f>
        <v>75</v>
      </c>
      <c r="AG378" s="219"/>
      <c r="AH378" s="219">
        <f>IF(AH376=$X$401,"",AH376)</f>
        <v>150</v>
      </c>
      <c r="AI378" s="219"/>
      <c r="AJ378" s="219">
        <f>IF(AJ376=$X$401,"",AJ376)</f>
        <v>100</v>
      </c>
      <c r="AK378" s="219"/>
      <c r="AL378" s="219"/>
      <c r="AM378" s="219"/>
      <c r="AN378" s="212"/>
      <c r="AO378" s="212"/>
      <c r="AP378" s="212"/>
      <c r="AQ378" s="212"/>
    </row>
    <row r="379" spans="1:43" s="208" customFormat="1" ht="12.75">
      <c r="A379" s="212"/>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9">
        <f>IF(Z377=$X$402,"",Z377)</f>
      </c>
      <c r="AA379" s="219"/>
      <c r="AB379" s="219">
        <f>IF(AB377=$X$402,"",AB377)</f>
      </c>
      <c r="AC379" s="219"/>
      <c r="AD379" s="219">
        <f>IF(AD377=$X$402,"",AD377)</f>
      </c>
      <c r="AE379" s="219"/>
      <c r="AF379" s="219">
        <f>IF(AF377=$X$402,"",AF377)</f>
        <v>25</v>
      </c>
      <c r="AG379" s="219"/>
      <c r="AH379" s="219">
        <f>IF(AH377=$X$402,"",AH377)</f>
        <v>50</v>
      </c>
      <c r="AI379" s="219"/>
      <c r="AJ379" s="219">
        <f>IF(AJ377=$X$402,"",AJ377)</f>
        <v>100</v>
      </c>
      <c r="AK379" s="219"/>
      <c r="AL379" s="219">
        <f>IF(AL377=$X$402,"",AL377)</f>
      </c>
      <c r="AM379" s="219"/>
      <c r="AN379" s="212"/>
      <c r="AO379" s="212"/>
      <c r="AP379" s="212"/>
      <c r="AQ379" s="212"/>
    </row>
    <row r="380" spans="1:43" s="208" customFormat="1" ht="12.75">
      <c r="A380" s="212"/>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9">
        <f>IF(Z378=$X$402,"",Z378)</f>
      </c>
      <c r="AA380" s="219"/>
      <c r="AB380" s="219">
        <f>IF(AB378=$X$402,"",AB378)</f>
      </c>
      <c r="AC380" s="219"/>
      <c r="AD380" s="219">
        <f>IF(AD378=$X$402,"",AD378)</f>
        <v>35</v>
      </c>
      <c r="AE380" s="219"/>
      <c r="AF380" s="219">
        <f>IF(AF378=$X$402,"",AF378)</f>
        <v>75</v>
      </c>
      <c r="AG380" s="219"/>
      <c r="AH380" s="219">
        <f>IF(AH378=$X$402,"",AH378)</f>
        <v>150</v>
      </c>
      <c r="AI380" s="219"/>
      <c r="AJ380" s="219">
        <f>IF(AJ378=$X$402,"",AJ378)</f>
        <v>100</v>
      </c>
      <c r="AK380" s="219"/>
      <c r="AL380" s="219"/>
      <c r="AM380" s="219"/>
      <c r="AN380" s="212"/>
      <c r="AO380" s="212"/>
      <c r="AP380" s="212"/>
      <c r="AQ380" s="212"/>
    </row>
    <row r="381" spans="1:43" s="208" customFormat="1" ht="12.75">
      <c r="A381" s="212"/>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9">
        <f>IF(Z379=$X$403,"",Z379)</f>
      </c>
      <c r="AA381" s="219"/>
      <c r="AB381" s="219">
        <f>IF(AB379=$X$403,"",AB379)</f>
      </c>
      <c r="AC381" s="219"/>
      <c r="AD381" s="219">
        <f>IF(AD379=$X$403,"",AD379)</f>
      </c>
      <c r="AE381" s="219"/>
      <c r="AF381" s="219">
        <f>IF(AF379=$X$403,"",AF379)</f>
      </c>
      <c r="AG381" s="219"/>
      <c r="AH381" s="219">
        <f>IF(AH379=$X$403,"",AH379)</f>
        <v>50</v>
      </c>
      <c r="AI381" s="219"/>
      <c r="AJ381" s="219">
        <f>IF(AJ379=$X$403,"",AJ379)</f>
        <v>100</v>
      </c>
      <c r="AK381" s="219"/>
      <c r="AL381" s="219">
        <f>IF(AL379=$X$403,"",AL379)</f>
      </c>
      <c r="AM381" s="219"/>
      <c r="AN381" s="212"/>
      <c r="AO381" s="212"/>
      <c r="AP381" s="212"/>
      <c r="AQ381" s="212"/>
    </row>
    <row r="382" spans="1:43" s="208" customFormat="1" ht="12.75">
      <c r="A382" s="212"/>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9">
        <f>IF(Z380=$X$403,"",Z380)</f>
      </c>
      <c r="AA382" s="219"/>
      <c r="AB382" s="219">
        <f>IF(AB380=$X$403,"",AB380)</f>
      </c>
      <c r="AC382" s="219"/>
      <c r="AD382" s="219">
        <f>IF(AD380=$X$403,"",AD380)</f>
        <v>35</v>
      </c>
      <c r="AE382" s="219"/>
      <c r="AF382" s="219">
        <f>IF(AF380=$X$403,"",AF380)</f>
        <v>75</v>
      </c>
      <c r="AG382" s="219"/>
      <c r="AH382" s="219">
        <f>IF(AH380=$X$403,"",AH380)</f>
        <v>150</v>
      </c>
      <c r="AI382" s="219"/>
      <c r="AJ382" s="219">
        <f>IF(AJ380=$X$403,"",AJ380)</f>
        <v>100</v>
      </c>
      <c r="AK382" s="219"/>
      <c r="AL382" s="219"/>
      <c r="AM382" s="219"/>
      <c r="AN382" s="212"/>
      <c r="AO382" s="212"/>
      <c r="AP382" s="212"/>
      <c r="AQ382" s="212"/>
    </row>
    <row r="383" spans="1:43" s="208" customFormat="1" ht="12.75">
      <c r="A383" s="212"/>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9">
        <f>IF(Z381=$X$404,"",Z381)</f>
      </c>
      <c r="AA383" s="219"/>
      <c r="AB383" s="219">
        <f>IF(AB381=$X$404,"",AB381)</f>
      </c>
      <c r="AC383" s="219"/>
      <c r="AD383" s="219">
        <f>IF(AD381=$X$404,"",AD381)</f>
      </c>
      <c r="AE383" s="219"/>
      <c r="AF383" s="219">
        <f>IF(AF381=$X$404,"",AF381)</f>
      </c>
      <c r="AG383" s="219"/>
      <c r="AH383" s="219">
        <f>IF(AH381=$X$404,"",AH381)</f>
        <v>50</v>
      </c>
      <c r="AI383" s="219"/>
      <c r="AJ383" s="219">
        <f>IF(AJ381=$X$404,"",AJ381)</f>
        <v>100</v>
      </c>
      <c r="AK383" s="219"/>
      <c r="AL383" s="219">
        <f>IF(AL381=$X$404,"",AL381)</f>
      </c>
      <c r="AM383" s="219"/>
      <c r="AN383" s="212"/>
      <c r="AO383" s="212"/>
      <c r="AP383" s="212"/>
      <c r="AQ383" s="212"/>
    </row>
    <row r="384" spans="1:43" s="208" customFormat="1" ht="12.75">
      <c r="A384" s="212"/>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9">
        <f>IF(Z382=$X$404,"",Z382)</f>
      </c>
      <c r="AA384" s="219"/>
      <c r="AB384" s="219">
        <f>IF(AB382=$X$404,"",AB382)</f>
      </c>
      <c r="AC384" s="219"/>
      <c r="AD384" s="219">
        <f>IF(AD382=$X$404,"",AD382)</f>
      </c>
      <c r="AE384" s="219"/>
      <c r="AF384" s="219">
        <f>IF(AF382=$X$404,"",AF382)</f>
        <v>75</v>
      </c>
      <c r="AG384" s="219"/>
      <c r="AH384" s="219">
        <f>IF(AH382=$X$404,"",AH382)</f>
        <v>150</v>
      </c>
      <c r="AI384" s="219"/>
      <c r="AJ384" s="219">
        <f>IF(AJ382=$X$404,"",AJ382)</f>
        <v>100</v>
      </c>
      <c r="AK384" s="219"/>
      <c r="AL384" s="219"/>
      <c r="AM384" s="219"/>
      <c r="AN384" s="212"/>
      <c r="AO384" s="212"/>
      <c r="AP384" s="212"/>
      <c r="AQ384" s="212"/>
    </row>
    <row r="385" spans="1:43" s="208" customFormat="1" ht="12.75">
      <c r="A385" s="212"/>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9">
        <f>IF(Z383=$X$405,"",Z383)</f>
      </c>
      <c r="AA385" s="219"/>
      <c r="AB385" s="219">
        <f>IF(AB383=$X$405,"",AB383)</f>
      </c>
      <c r="AC385" s="219"/>
      <c r="AD385" s="219">
        <f>IF(AD383=$X$405,"",AD383)</f>
      </c>
      <c r="AE385" s="219"/>
      <c r="AF385" s="219">
        <f>IF(AF383=$X$405,"",AF383)</f>
      </c>
      <c r="AG385" s="219"/>
      <c r="AH385" s="219">
        <f>IF(AH383=$X$405,"",AH383)</f>
      </c>
      <c r="AI385" s="219"/>
      <c r="AJ385" s="219">
        <f>IF(AJ383=$X$405,"",AJ383)</f>
        <v>100</v>
      </c>
      <c r="AK385" s="219"/>
      <c r="AL385" s="219">
        <f>IF(AL383=$X$405,"",AL383)</f>
      </c>
      <c r="AM385" s="219"/>
      <c r="AN385" s="212"/>
      <c r="AO385" s="212"/>
      <c r="AP385" s="212"/>
      <c r="AQ385" s="212"/>
    </row>
    <row r="386" spans="1:43" s="208" customFormat="1" ht="12.75">
      <c r="A386" s="212"/>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9">
        <f>IF(Z384=$X$405,"",Z384)</f>
      </c>
      <c r="AA386" s="219"/>
      <c r="AB386" s="219">
        <f>IF(AB384=$X$405,"",AB384)</f>
      </c>
      <c r="AC386" s="219"/>
      <c r="AD386" s="219">
        <f>IF(AD384=$X$405,"",AD384)</f>
      </c>
      <c r="AE386" s="219"/>
      <c r="AF386" s="219">
        <f>IF(AF384=$X$405,"",AF384)</f>
        <v>75</v>
      </c>
      <c r="AG386" s="219"/>
      <c r="AH386" s="219">
        <f>IF(AH384=$X$405,"",AH384)</f>
        <v>150</v>
      </c>
      <c r="AI386" s="219"/>
      <c r="AJ386" s="219">
        <f>IF(AJ384=$X$405,"",AJ384)</f>
        <v>100</v>
      </c>
      <c r="AK386" s="219"/>
      <c r="AL386" s="219"/>
      <c r="AM386" s="219"/>
      <c r="AN386" s="212"/>
      <c r="AO386" s="212"/>
      <c r="AP386" s="212"/>
      <c r="AQ386" s="212"/>
    </row>
    <row r="387" spans="1:43" s="208" customFormat="1" ht="12.75">
      <c r="A387" s="212"/>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9">
        <f>IF(Z385=$X$406,"",Z385)</f>
      </c>
      <c r="AA387" s="219"/>
      <c r="AB387" s="219">
        <f>IF(AB385=$X$406,"",AB385)</f>
      </c>
      <c r="AC387" s="219"/>
      <c r="AD387" s="219">
        <f>IF(AD385=$X$406,"",AD385)</f>
      </c>
      <c r="AE387" s="219"/>
      <c r="AF387" s="219">
        <f>IF(AF385=$X$406,"",AF385)</f>
      </c>
      <c r="AG387" s="219"/>
      <c r="AH387" s="219">
        <f>IF(AH385=$X$406,"",AH385)</f>
      </c>
      <c r="AI387" s="219"/>
      <c r="AJ387" s="219">
        <f>IF(AJ385=$X$406,"",AJ385)</f>
        <v>100</v>
      </c>
      <c r="AK387" s="219"/>
      <c r="AL387" s="219">
        <f>IF(AL385=$X$406,"",AL385)</f>
      </c>
      <c r="AM387" s="219"/>
      <c r="AN387" s="212"/>
      <c r="AO387" s="212"/>
      <c r="AP387" s="212"/>
      <c r="AQ387" s="212"/>
    </row>
    <row r="388" spans="1:43" s="208" customFormat="1" ht="12.75">
      <c r="A388" s="212"/>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9">
        <f>IF(Z386=$X$406,"",Z386)</f>
      </c>
      <c r="AA388" s="219"/>
      <c r="AB388" s="219">
        <f>IF(AB386=$X$406,"",AB386)</f>
      </c>
      <c r="AC388" s="219"/>
      <c r="AD388" s="219">
        <f>IF(AD386=$X$406,"",AD386)</f>
      </c>
      <c r="AE388" s="219"/>
      <c r="AF388" s="219">
        <f>IF(AF386=$X$406,"",AF386)</f>
      </c>
      <c r="AG388" s="219"/>
      <c r="AH388" s="219">
        <f>IF(AH386=$X$406,"",AH386)</f>
        <v>150</v>
      </c>
      <c r="AI388" s="219"/>
      <c r="AJ388" s="219">
        <f>IF(AJ386=$X$406,"",AJ386)</f>
        <v>100</v>
      </c>
      <c r="AK388" s="219"/>
      <c r="AL388" s="219"/>
      <c r="AM388" s="219"/>
      <c r="AN388" s="212"/>
      <c r="AO388" s="212"/>
      <c r="AP388" s="212"/>
      <c r="AQ388" s="212"/>
    </row>
    <row r="389" spans="1:43" s="208" customFormat="1" ht="12.75">
      <c r="A389" s="212"/>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9">
        <f>IF(Z387=$X$407,"",Z387)</f>
      </c>
      <c r="AA389" s="219"/>
      <c r="AB389" s="219">
        <f>IF(AB387=$X$407,"",AB387)</f>
      </c>
      <c r="AC389" s="219"/>
      <c r="AD389" s="219">
        <f>IF(AD387=$X$407,"",AD387)</f>
      </c>
      <c r="AE389" s="219"/>
      <c r="AF389" s="219">
        <f>IF(AF387=$X$407,"",AF387)</f>
      </c>
      <c r="AG389" s="219"/>
      <c r="AH389" s="219">
        <f>IF(AH387=$X$407,"",AH387)</f>
      </c>
      <c r="AI389" s="219"/>
      <c r="AJ389" s="219">
        <f>IF(AJ387=$X$407,"",AJ387)</f>
      </c>
      <c r="AK389" s="219"/>
      <c r="AL389" s="219">
        <f>IF(AL387=$X$407,"",AL387)</f>
      </c>
      <c r="AM389" s="219"/>
      <c r="AN389" s="212"/>
      <c r="AO389" s="212"/>
      <c r="AP389" s="212"/>
      <c r="AQ389" s="212"/>
    </row>
    <row r="390" spans="1:43" s="208" customFormat="1" ht="12.75">
      <c r="A390" s="212"/>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9">
        <f>IF(Z388=$X$407,"",Z388)</f>
      </c>
      <c r="AA390" s="219"/>
      <c r="AB390" s="219">
        <f>IF(AB388=$X$407,"",AB388)</f>
      </c>
      <c r="AC390" s="219"/>
      <c r="AD390" s="219">
        <f>IF(AD388=$X$407,"",AD388)</f>
      </c>
      <c r="AE390" s="219"/>
      <c r="AF390" s="219">
        <f>IF(AF388=$X$407,"",AF388)</f>
      </c>
      <c r="AG390" s="219"/>
      <c r="AH390" s="219">
        <f>IF(AH388=$X$407,"",AH388)</f>
        <v>150</v>
      </c>
      <c r="AI390" s="219"/>
      <c r="AJ390" s="219">
        <f>IF(AJ388=$X$407,"",AJ388)</f>
      </c>
      <c r="AK390" s="219"/>
      <c r="AL390" s="219"/>
      <c r="AM390" s="219"/>
      <c r="AN390" s="212"/>
      <c r="AO390" s="212"/>
      <c r="AP390" s="212"/>
      <c r="AQ390" s="212"/>
    </row>
    <row r="391" spans="1:43" s="208" customFormat="1" ht="12.75">
      <c r="A391" s="212"/>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9">
        <f>IF(Z389=$X$408,"",Z389)</f>
      </c>
      <c r="AA391" s="219"/>
      <c r="AB391" s="219">
        <f>IF(AB389=$X$408,"",AB389)</f>
      </c>
      <c r="AC391" s="219"/>
      <c r="AD391" s="219">
        <f>IF(AD389=$X$408,"",AD389)</f>
      </c>
      <c r="AE391" s="219"/>
      <c r="AF391" s="219">
        <f>IF(AF389=$X$408,"",AF389)</f>
      </c>
      <c r="AG391" s="219"/>
      <c r="AH391" s="219">
        <f>IF(AH389=$X$408,"",AH389)</f>
      </c>
      <c r="AI391" s="219"/>
      <c r="AJ391" s="219">
        <f>IF(AJ389=$X$408,"",AJ389)</f>
      </c>
      <c r="AK391" s="219"/>
      <c r="AL391" s="219">
        <f>IF(AL389=$X$408,"",AL389)</f>
      </c>
      <c r="AM391" s="219"/>
      <c r="AN391" s="212"/>
      <c r="AO391" s="212"/>
      <c r="AP391" s="212"/>
      <c r="AQ391" s="212"/>
    </row>
    <row r="392" spans="1:43" s="208" customFormat="1" ht="12.75">
      <c r="A392" s="212"/>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9"/>
      <c r="X392" s="212"/>
      <c r="Y392" s="212"/>
      <c r="Z392" s="219">
        <f>IF(Z390=$X$408,"",Z390)</f>
      </c>
      <c r="AA392" s="219"/>
      <c r="AB392" s="219">
        <f>IF(AB390=$X$408,"",AB390)</f>
      </c>
      <c r="AC392" s="219"/>
      <c r="AD392" s="219">
        <f>IF(AD390=$X$408,"",AD390)</f>
      </c>
      <c r="AE392" s="219"/>
      <c r="AF392" s="219">
        <f>IF(AF390=$X$408,"",AF390)</f>
      </c>
      <c r="AG392" s="219"/>
      <c r="AH392" s="219">
        <f>IF(AH390=$X$408,"",AH390)</f>
      </c>
      <c r="AI392" s="219"/>
      <c r="AJ392" s="219">
        <f>IF(AJ390=$X$408,"",AJ390)</f>
      </c>
      <c r="AK392" s="219"/>
      <c r="AL392" s="219"/>
      <c r="AM392" s="219"/>
      <c r="AN392" s="212"/>
      <c r="AO392" s="212"/>
      <c r="AP392" s="212"/>
      <c r="AQ392" s="212"/>
    </row>
    <row r="393" spans="1:43" s="208" customFormat="1" ht="12.75">
      <c r="A393" s="212"/>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9">
        <f>IF(Z391=$X$409,"",Z391)</f>
      </c>
      <c r="AA393" s="219"/>
      <c r="AB393" s="219">
        <f>IF(AB391=$X$409,"",AB391)</f>
      </c>
      <c r="AC393" s="219"/>
      <c r="AD393" s="219">
        <f>IF(AD391=$X$409,"",AD391)</f>
      </c>
      <c r="AE393" s="219"/>
      <c r="AF393" s="219">
        <f>IF(AF391=$X$409,"",AF391)</f>
      </c>
      <c r="AG393" s="219"/>
      <c r="AH393" s="219">
        <f>IF(AH391=$X$409,"",AH391)</f>
      </c>
      <c r="AI393" s="219"/>
      <c r="AJ393" s="219">
        <f>IF(AJ391=$X$409,"",AJ391)</f>
      </c>
      <c r="AK393" s="219"/>
      <c r="AL393" s="219">
        <f>IF(AL391=$X$409,"",AL391)</f>
      </c>
      <c r="AM393" s="219"/>
      <c r="AN393" s="212"/>
      <c r="AO393" s="212"/>
      <c r="AP393" s="212"/>
      <c r="AQ393" s="212"/>
    </row>
    <row r="394" spans="1:43" s="208" customFormat="1" ht="12.75">
      <c r="A394" s="212"/>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9">
        <f>IF(Z392=$X$409,"",Z392)</f>
      </c>
      <c r="AA394" s="219"/>
      <c r="AB394" s="219">
        <f>IF(AB392=$X$409,"",AB392)</f>
      </c>
      <c r="AC394" s="219"/>
      <c r="AD394" s="219">
        <f>IF(AD392=$X$409,"",AD392)</f>
      </c>
      <c r="AE394" s="219"/>
      <c r="AF394" s="219">
        <f>IF(AF392=$X$409,"",AF392)</f>
      </c>
      <c r="AG394" s="219"/>
      <c r="AH394" s="219">
        <f>IF(AH392=$X$409,"",AH392)</f>
      </c>
      <c r="AI394" s="219"/>
      <c r="AJ394" s="219">
        <f>IF(AJ392=$X$409,"",AJ392)</f>
      </c>
      <c r="AK394" s="219"/>
      <c r="AL394" s="219"/>
      <c r="AM394" s="219"/>
      <c r="AN394" s="212"/>
      <c r="AO394" s="212"/>
      <c r="AP394" s="212"/>
      <c r="AQ394" s="212"/>
    </row>
    <row r="395" spans="1:43" s="208" customFormat="1" ht="12.75">
      <c r="A395" s="212"/>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c r="AA395" s="212"/>
      <c r="AB395" s="212"/>
      <c r="AC395" s="212"/>
      <c r="AD395" s="212"/>
      <c r="AE395" s="212"/>
      <c r="AF395" s="212"/>
      <c r="AG395" s="212"/>
      <c r="AH395" s="212"/>
      <c r="AI395" s="212"/>
      <c r="AJ395" s="212"/>
      <c r="AK395" s="212"/>
      <c r="AL395" s="212"/>
      <c r="AM395" s="212"/>
      <c r="AN395" s="212"/>
      <c r="AO395" s="212"/>
      <c r="AP395" s="212"/>
      <c r="AQ395" s="212"/>
    </row>
    <row r="396" spans="1:43" s="208" customFormat="1" ht="12.75">
      <c r="A396" s="212"/>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2"/>
      <c r="AD396" s="212"/>
      <c r="AE396" s="212"/>
      <c r="AF396" s="212"/>
      <c r="AG396" s="212"/>
      <c r="AH396" s="212"/>
      <c r="AI396" s="212"/>
      <c r="AJ396" s="212"/>
      <c r="AK396" s="212"/>
      <c r="AL396" s="212"/>
      <c r="AM396" s="212"/>
      <c r="AN396" s="212"/>
      <c r="AO396" s="212"/>
      <c r="AP396" s="212"/>
      <c r="AQ396" s="212"/>
    </row>
    <row r="397" spans="1:43" s="208" customFormat="1" ht="12.75">
      <c r="A397" s="212"/>
      <c r="B397" s="212"/>
      <c r="C397" s="212"/>
      <c r="D397" s="212"/>
      <c r="E397" s="212"/>
      <c r="F397" s="212"/>
      <c r="G397" s="212"/>
      <c r="H397" s="212"/>
      <c r="I397" s="212"/>
      <c r="J397" s="212"/>
      <c r="K397" s="212"/>
      <c r="L397" s="212"/>
      <c r="M397" s="212"/>
      <c r="N397" s="212"/>
      <c r="O397" s="212"/>
      <c r="P397" s="212"/>
      <c r="Q397" s="212"/>
      <c r="R397" s="212"/>
      <c r="S397" s="212"/>
      <c r="T397" s="212"/>
      <c r="U397" s="212" t="s">
        <v>200</v>
      </c>
      <c r="V397" s="212"/>
      <c r="W397" s="212"/>
      <c r="X397" s="212"/>
      <c r="Y397" s="212"/>
      <c r="Z397" s="212"/>
      <c r="AA397" s="212"/>
      <c r="AB397" s="212"/>
      <c r="AC397" s="212"/>
      <c r="AD397" s="212"/>
      <c r="AE397" s="239" t="s">
        <v>136</v>
      </c>
      <c r="AF397" s="239"/>
      <c r="AG397" s="239"/>
      <c r="AH397" s="212"/>
      <c r="AI397" s="212"/>
      <c r="AJ397" s="212"/>
      <c r="AK397" s="212"/>
      <c r="AL397" s="212"/>
      <c r="AM397" s="212"/>
      <c r="AN397" s="212"/>
      <c r="AO397" s="212"/>
      <c r="AP397" s="212"/>
      <c r="AQ397" s="212"/>
    </row>
    <row r="398" spans="1:43" s="208" customFormat="1" ht="12.75">
      <c r="A398" s="212"/>
      <c r="B398" s="212"/>
      <c r="C398" s="212"/>
      <c r="D398" s="212"/>
      <c r="E398" s="212"/>
      <c r="F398" s="212"/>
      <c r="G398" s="212"/>
      <c r="H398" s="212"/>
      <c r="I398" s="212"/>
      <c r="J398" s="212"/>
      <c r="K398" s="212"/>
      <c r="L398" s="212"/>
      <c r="M398" s="212"/>
      <c r="N398" s="212"/>
      <c r="O398" s="212"/>
      <c r="P398" s="212"/>
      <c r="Q398" s="212"/>
      <c r="R398" s="212"/>
      <c r="S398" s="212"/>
      <c r="T398" s="212"/>
      <c r="U398" s="212" t="s">
        <v>201</v>
      </c>
      <c r="V398" s="212"/>
      <c r="W398" s="219" t="s">
        <v>142</v>
      </c>
      <c r="X398" s="219" t="s">
        <v>163</v>
      </c>
      <c r="Y398" s="219" t="s">
        <v>164</v>
      </c>
      <c r="Z398" s="219" t="s">
        <v>143</v>
      </c>
      <c r="AA398" s="219" t="s">
        <v>162</v>
      </c>
      <c r="AB398" s="212"/>
      <c r="AC398" s="212"/>
      <c r="AD398" s="212"/>
      <c r="AE398" s="219" t="s">
        <v>165</v>
      </c>
      <c r="AF398" s="219" t="s">
        <v>143</v>
      </c>
      <c r="AG398" s="219" t="s">
        <v>162</v>
      </c>
      <c r="AH398" s="212"/>
      <c r="AI398" s="212"/>
      <c r="AJ398" s="212"/>
      <c r="AK398" s="212"/>
      <c r="AL398" s="212"/>
      <c r="AM398" s="212"/>
      <c r="AN398" s="212"/>
      <c r="AO398" s="212"/>
      <c r="AP398" s="212"/>
      <c r="AQ398" s="212"/>
    </row>
    <row r="399" spans="1:43" s="208" customFormat="1" ht="12.75">
      <c r="A399" s="212"/>
      <c r="B399" s="212"/>
      <c r="C399" s="212"/>
      <c r="D399" s="212"/>
      <c r="E399" s="212"/>
      <c r="F399" s="212"/>
      <c r="G399" s="212"/>
      <c r="H399" s="212"/>
      <c r="I399" s="212"/>
      <c r="J399" s="212"/>
      <c r="K399" s="212"/>
      <c r="L399" s="212"/>
      <c r="M399" s="212"/>
      <c r="N399" s="212"/>
      <c r="O399" s="212"/>
      <c r="P399" s="212"/>
      <c r="Q399" s="212"/>
      <c r="R399" s="212"/>
      <c r="S399" s="212"/>
      <c r="T399" s="212"/>
      <c r="U399" s="212">
        <f>COUNTIF(Z371:AL372,0)</f>
        <v>0</v>
      </c>
      <c r="V399" s="212"/>
      <c r="W399" s="212">
        <v>1</v>
      </c>
      <c r="X399" s="212">
        <f>SMALL(Z371:AL372,1+U399)</f>
        <v>1</v>
      </c>
      <c r="Y399" s="212">
        <f>IF(X399=0,$AO$371,X399)</f>
        <v>1</v>
      </c>
      <c r="Z399" s="212">
        <f>Y399</f>
        <v>1</v>
      </c>
      <c r="AA399" s="212">
        <f>Z399*2</f>
        <v>2</v>
      </c>
      <c r="AB399" s="212"/>
      <c r="AC399" s="212"/>
      <c r="AD399" s="212"/>
      <c r="AE399" s="212">
        <f>IF(Z399=0,"",$W399)</f>
        <v>1</v>
      </c>
      <c r="AF399" s="212">
        <f>IF(Z399=0,"",Z399)</f>
        <v>1</v>
      </c>
      <c r="AG399" s="212">
        <f>IF(Z399=0,"",AA399)</f>
        <v>2</v>
      </c>
      <c r="AH399" s="212"/>
      <c r="AI399" s="212"/>
      <c r="AJ399" s="212"/>
      <c r="AK399" s="212"/>
      <c r="AL399" s="212"/>
      <c r="AM399" s="212"/>
      <c r="AN399" s="212"/>
      <c r="AO399" s="212"/>
      <c r="AP399" s="212"/>
      <c r="AQ399" s="212"/>
    </row>
    <row r="400" spans="1:43" s="208" customFormat="1" ht="12.75">
      <c r="A400" s="212"/>
      <c r="B400" s="212"/>
      <c r="C400" s="212"/>
      <c r="D400" s="212"/>
      <c r="E400" s="212"/>
      <c r="F400" s="212"/>
      <c r="G400" s="212"/>
      <c r="H400" s="212"/>
      <c r="I400" s="212"/>
      <c r="J400" s="212"/>
      <c r="K400" s="212"/>
      <c r="L400" s="212"/>
      <c r="M400" s="212"/>
      <c r="N400" s="212"/>
      <c r="O400" s="212"/>
      <c r="P400" s="212"/>
      <c r="Q400" s="212"/>
      <c r="R400" s="212"/>
      <c r="S400" s="212"/>
      <c r="T400" s="212"/>
      <c r="U400" s="212">
        <f>COUNTIF(Z373:AL374,0)</f>
        <v>0</v>
      </c>
      <c r="V400" s="212"/>
      <c r="W400" s="212">
        <v>2</v>
      </c>
      <c r="X400" s="212">
        <f>SMALL(Z373:AL374,1+U400)</f>
        <v>5</v>
      </c>
      <c r="Y400" s="212">
        <f aca="true" t="shared" si="179" ref="Y400:Y411">IF(X400=0,$AO$371,X400)</f>
        <v>5</v>
      </c>
      <c r="Z400" s="212">
        <f>IF(Z399&lt;$AO$371,Y400,Z399+$AO$371)</f>
        <v>5</v>
      </c>
      <c r="AA400" s="212">
        <f aca="true" t="shared" si="180" ref="AA400:AA411">Z400*2</f>
        <v>10</v>
      </c>
      <c r="AB400" s="212"/>
      <c r="AC400" s="212"/>
      <c r="AD400" s="212"/>
      <c r="AE400" s="212">
        <f aca="true" t="shared" si="181" ref="AE400:AE411">IF(Z400=0,"",$W400)</f>
        <v>2</v>
      </c>
      <c r="AF400" s="212">
        <f aca="true" t="shared" si="182" ref="AF400:AF411">IF(Z400=0,"",Z400)</f>
        <v>5</v>
      </c>
      <c r="AG400" s="212">
        <f aca="true" t="shared" si="183" ref="AG400:AG411">IF(Z400=0,"",AA400)</f>
        <v>10</v>
      </c>
      <c r="AH400" s="212"/>
      <c r="AI400" s="212"/>
      <c r="AJ400" s="212"/>
      <c r="AK400" s="212"/>
      <c r="AL400" s="212"/>
      <c r="AM400" s="212"/>
      <c r="AN400" s="212"/>
      <c r="AO400" s="212"/>
      <c r="AP400" s="212"/>
      <c r="AQ400" s="212"/>
    </row>
    <row r="401" spans="1:43" s="208" customFormat="1" ht="12.75">
      <c r="A401" s="212"/>
      <c r="B401" s="212"/>
      <c r="C401" s="212"/>
      <c r="D401" s="212"/>
      <c r="E401" s="212"/>
      <c r="F401" s="212"/>
      <c r="G401" s="212"/>
      <c r="H401" s="212"/>
      <c r="I401" s="212"/>
      <c r="J401" s="212"/>
      <c r="K401" s="212"/>
      <c r="L401" s="212"/>
      <c r="M401" s="212"/>
      <c r="N401" s="212"/>
      <c r="O401" s="212"/>
      <c r="P401" s="212"/>
      <c r="Q401" s="212"/>
      <c r="R401" s="212"/>
      <c r="S401" s="212"/>
      <c r="T401" s="212"/>
      <c r="U401" s="212">
        <f>COUNTIF(Z375:AL376,0)</f>
        <v>0</v>
      </c>
      <c r="V401" s="212"/>
      <c r="W401" s="212">
        <v>3</v>
      </c>
      <c r="X401" s="212">
        <f>SMALL(Z375:AL376,1+U401)</f>
        <v>10</v>
      </c>
      <c r="Y401" s="212">
        <f t="shared" si="179"/>
        <v>10</v>
      </c>
      <c r="Z401" s="212">
        <f aca="true" t="shared" si="184" ref="Z401:Z411">IF(Z400&lt;$AO$371,Y401,Z400+$AO$371)</f>
        <v>10</v>
      </c>
      <c r="AA401" s="212">
        <f t="shared" si="180"/>
        <v>20</v>
      </c>
      <c r="AB401" s="212"/>
      <c r="AC401" s="212"/>
      <c r="AD401" s="212"/>
      <c r="AE401" s="212">
        <f t="shared" si="181"/>
        <v>3</v>
      </c>
      <c r="AF401" s="212">
        <f t="shared" si="182"/>
        <v>10</v>
      </c>
      <c r="AG401" s="212">
        <f t="shared" si="183"/>
        <v>20</v>
      </c>
      <c r="AH401" s="212"/>
      <c r="AI401" s="212"/>
      <c r="AJ401" s="212"/>
      <c r="AK401" s="212"/>
      <c r="AL401" s="212"/>
      <c r="AM401" s="212"/>
      <c r="AN401" s="212"/>
      <c r="AO401" s="212"/>
      <c r="AP401" s="212"/>
      <c r="AQ401" s="212"/>
    </row>
    <row r="402" spans="1:43" s="208" customFormat="1" ht="12.75">
      <c r="A402" s="212"/>
      <c r="B402" s="212"/>
      <c r="C402" s="212"/>
      <c r="D402" s="212"/>
      <c r="E402" s="212"/>
      <c r="F402" s="212"/>
      <c r="G402" s="212"/>
      <c r="H402" s="212"/>
      <c r="I402" s="212"/>
      <c r="J402" s="212"/>
      <c r="K402" s="212"/>
      <c r="L402" s="212"/>
      <c r="M402" s="212"/>
      <c r="N402" s="212"/>
      <c r="O402" s="212"/>
      <c r="P402" s="212"/>
      <c r="Q402" s="212"/>
      <c r="R402" s="212"/>
      <c r="S402" s="212"/>
      <c r="T402" s="212"/>
      <c r="U402" s="212">
        <f>COUNTIF(Z377:AL378,0)</f>
        <v>0</v>
      </c>
      <c r="V402" s="212"/>
      <c r="W402" s="212">
        <v>4</v>
      </c>
      <c r="X402" s="212">
        <f>SMALL(Z377:AL378,1+U402)</f>
        <v>15</v>
      </c>
      <c r="Y402" s="212">
        <f t="shared" si="179"/>
        <v>15</v>
      </c>
      <c r="Z402" s="212">
        <f t="shared" si="184"/>
        <v>15</v>
      </c>
      <c r="AA402" s="212">
        <f t="shared" si="180"/>
        <v>30</v>
      </c>
      <c r="AB402" s="212"/>
      <c r="AC402" s="212"/>
      <c r="AD402" s="212"/>
      <c r="AE402" s="212">
        <f t="shared" si="181"/>
        <v>4</v>
      </c>
      <c r="AF402" s="212">
        <f t="shared" si="182"/>
        <v>15</v>
      </c>
      <c r="AG402" s="212">
        <f t="shared" si="183"/>
        <v>30</v>
      </c>
      <c r="AH402" s="212"/>
      <c r="AI402" s="212"/>
      <c r="AJ402" s="212"/>
      <c r="AK402" s="212"/>
      <c r="AL402" s="212"/>
      <c r="AM402" s="212"/>
      <c r="AN402" s="212"/>
      <c r="AO402" s="212"/>
      <c r="AP402" s="212"/>
      <c r="AQ402" s="212"/>
    </row>
    <row r="403" spans="1:43" s="208" customFormat="1" ht="12.75">
      <c r="A403" s="212"/>
      <c r="B403" s="212"/>
      <c r="C403" s="212"/>
      <c r="D403" s="212"/>
      <c r="E403" s="212"/>
      <c r="F403" s="212"/>
      <c r="G403" s="212"/>
      <c r="H403" s="212"/>
      <c r="I403" s="212"/>
      <c r="J403" s="212"/>
      <c r="K403" s="212"/>
      <c r="L403" s="212"/>
      <c r="M403" s="212"/>
      <c r="N403" s="212"/>
      <c r="O403" s="212"/>
      <c r="P403" s="212"/>
      <c r="Q403" s="212"/>
      <c r="R403" s="212"/>
      <c r="S403" s="212"/>
      <c r="T403" s="212"/>
      <c r="U403" s="212">
        <f>COUNTIF(Z379:AL380,0)</f>
        <v>0</v>
      </c>
      <c r="V403" s="212"/>
      <c r="W403" s="212">
        <v>5</v>
      </c>
      <c r="X403" s="212">
        <f>SMALL(Z379:AL380,1+U403)</f>
        <v>25</v>
      </c>
      <c r="Y403" s="212">
        <f t="shared" si="179"/>
        <v>25</v>
      </c>
      <c r="Z403" s="212">
        <f t="shared" si="184"/>
        <v>25</v>
      </c>
      <c r="AA403" s="212">
        <f t="shared" si="180"/>
        <v>50</v>
      </c>
      <c r="AB403" s="212"/>
      <c r="AC403" s="212"/>
      <c r="AD403" s="212"/>
      <c r="AE403" s="212">
        <f t="shared" si="181"/>
        <v>5</v>
      </c>
      <c r="AF403" s="212">
        <f t="shared" si="182"/>
        <v>25</v>
      </c>
      <c r="AG403" s="212">
        <f t="shared" si="183"/>
        <v>50</v>
      </c>
      <c r="AH403" s="212"/>
      <c r="AI403" s="212"/>
      <c r="AJ403" s="212"/>
      <c r="AK403" s="212"/>
      <c r="AL403" s="212"/>
      <c r="AM403" s="212"/>
      <c r="AN403" s="212"/>
      <c r="AO403" s="212"/>
      <c r="AP403" s="212"/>
      <c r="AQ403" s="212"/>
    </row>
    <row r="404" spans="1:43" s="208" customFormat="1" ht="12.75">
      <c r="A404" s="212"/>
      <c r="B404" s="212"/>
      <c r="C404" s="212"/>
      <c r="D404" s="212"/>
      <c r="E404" s="212"/>
      <c r="F404" s="212"/>
      <c r="G404" s="212"/>
      <c r="H404" s="212"/>
      <c r="I404" s="212"/>
      <c r="J404" s="212"/>
      <c r="K404" s="212"/>
      <c r="L404" s="212"/>
      <c r="M404" s="212"/>
      <c r="N404" s="212"/>
      <c r="O404" s="212"/>
      <c r="P404" s="212"/>
      <c r="Q404" s="212"/>
      <c r="R404" s="212"/>
      <c r="S404" s="212"/>
      <c r="T404" s="212"/>
      <c r="U404" s="212">
        <f>COUNTIF(Z381:AL382,0)</f>
        <v>0</v>
      </c>
      <c r="V404" s="212"/>
      <c r="W404" s="212">
        <v>6</v>
      </c>
      <c r="X404" s="212">
        <f>MIN(Z381:AL382)</f>
        <v>35</v>
      </c>
      <c r="Y404" s="212">
        <f t="shared" si="179"/>
        <v>35</v>
      </c>
      <c r="Z404" s="212">
        <f t="shared" si="184"/>
        <v>35</v>
      </c>
      <c r="AA404" s="212">
        <f t="shared" si="180"/>
        <v>70</v>
      </c>
      <c r="AB404" s="212"/>
      <c r="AC404" s="212"/>
      <c r="AD404" s="212"/>
      <c r="AE404" s="212">
        <f t="shared" si="181"/>
        <v>6</v>
      </c>
      <c r="AF404" s="212">
        <f t="shared" si="182"/>
        <v>35</v>
      </c>
      <c r="AG404" s="212">
        <f t="shared" si="183"/>
        <v>70</v>
      </c>
      <c r="AH404" s="212"/>
      <c r="AI404" s="212"/>
      <c r="AJ404" s="212"/>
      <c r="AK404" s="212"/>
      <c r="AL404" s="212"/>
      <c r="AM404" s="212"/>
      <c r="AN404" s="212"/>
      <c r="AO404" s="212"/>
      <c r="AP404" s="212"/>
      <c r="AQ404" s="212"/>
    </row>
    <row r="405" spans="1:43" s="208" customFormat="1" ht="12.75">
      <c r="A405" s="212"/>
      <c r="B405" s="212"/>
      <c r="C405" s="212"/>
      <c r="D405" s="212"/>
      <c r="E405" s="212"/>
      <c r="F405" s="212"/>
      <c r="G405" s="212"/>
      <c r="H405" s="212"/>
      <c r="I405" s="212"/>
      <c r="J405" s="212"/>
      <c r="K405" s="212"/>
      <c r="L405" s="212"/>
      <c r="M405" s="212"/>
      <c r="N405" s="212"/>
      <c r="O405" s="212"/>
      <c r="P405" s="212"/>
      <c r="Q405" s="212"/>
      <c r="R405" s="212"/>
      <c r="S405" s="212"/>
      <c r="T405" s="212"/>
      <c r="U405" s="212">
        <f>COUNTIF(Z383:AL384,0)</f>
        <v>0</v>
      </c>
      <c r="V405" s="212"/>
      <c r="W405" s="212">
        <v>7</v>
      </c>
      <c r="X405" s="212">
        <f>MIN(Z383:AL384)</f>
        <v>50</v>
      </c>
      <c r="Y405" s="212">
        <f t="shared" si="179"/>
        <v>50</v>
      </c>
      <c r="Z405" s="212">
        <f t="shared" si="184"/>
        <v>50</v>
      </c>
      <c r="AA405" s="212">
        <f t="shared" si="180"/>
        <v>100</v>
      </c>
      <c r="AB405" s="212"/>
      <c r="AC405" s="212"/>
      <c r="AD405" s="212"/>
      <c r="AE405" s="212">
        <f t="shared" si="181"/>
        <v>7</v>
      </c>
      <c r="AF405" s="212">
        <f t="shared" si="182"/>
        <v>50</v>
      </c>
      <c r="AG405" s="212">
        <f t="shared" si="183"/>
        <v>100</v>
      </c>
      <c r="AH405" s="212"/>
      <c r="AI405" s="212"/>
      <c r="AJ405" s="212"/>
      <c r="AK405" s="212"/>
      <c r="AL405" s="212"/>
      <c r="AM405" s="212"/>
      <c r="AN405" s="212"/>
      <c r="AO405" s="212"/>
      <c r="AP405" s="212"/>
      <c r="AQ405" s="212"/>
    </row>
    <row r="406" spans="1:43" s="208" customFormat="1" ht="12.75">
      <c r="A406" s="212"/>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v>8</v>
      </c>
      <c r="X406" s="212">
        <f>MIN(Z385:AL386)</f>
        <v>75</v>
      </c>
      <c r="Y406" s="212">
        <f t="shared" si="179"/>
        <v>75</v>
      </c>
      <c r="Z406" s="212">
        <f t="shared" si="184"/>
        <v>75</v>
      </c>
      <c r="AA406" s="212">
        <f t="shared" si="180"/>
        <v>150</v>
      </c>
      <c r="AB406" s="212"/>
      <c r="AC406" s="212"/>
      <c r="AD406" s="212"/>
      <c r="AE406" s="212">
        <f t="shared" si="181"/>
        <v>8</v>
      </c>
      <c r="AF406" s="212">
        <f t="shared" si="182"/>
        <v>75</v>
      </c>
      <c r="AG406" s="212">
        <f t="shared" si="183"/>
        <v>150</v>
      </c>
      <c r="AH406" s="212"/>
      <c r="AI406" s="212"/>
      <c r="AJ406" s="212"/>
      <c r="AK406" s="212"/>
      <c r="AL406" s="212"/>
      <c r="AM406" s="212"/>
      <c r="AN406" s="212"/>
      <c r="AO406" s="212"/>
      <c r="AP406" s="212"/>
      <c r="AQ406" s="212"/>
    </row>
    <row r="407" spans="1:43" s="208" customFormat="1" ht="12.75">
      <c r="A407" s="212"/>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v>9</v>
      </c>
      <c r="X407" s="212">
        <f>MIN(Z387:AL388)</f>
        <v>100</v>
      </c>
      <c r="Y407" s="212">
        <f t="shared" si="179"/>
        <v>100</v>
      </c>
      <c r="Z407" s="212">
        <f t="shared" si="184"/>
        <v>100</v>
      </c>
      <c r="AA407" s="212">
        <f t="shared" si="180"/>
        <v>200</v>
      </c>
      <c r="AB407" s="212"/>
      <c r="AC407" s="212"/>
      <c r="AD407" s="212"/>
      <c r="AE407" s="212">
        <f t="shared" si="181"/>
        <v>9</v>
      </c>
      <c r="AF407" s="212">
        <f t="shared" si="182"/>
        <v>100</v>
      </c>
      <c r="AG407" s="212">
        <f t="shared" si="183"/>
        <v>200</v>
      </c>
      <c r="AH407" s="212"/>
      <c r="AI407" s="212"/>
      <c r="AJ407" s="212"/>
      <c r="AK407" s="212"/>
      <c r="AL407" s="212"/>
      <c r="AM407" s="212"/>
      <c r="AN407" s="212"/>
      <c r="AO407" s="212"/>
      <c r="AP407" s="212"/>
      <c r="AQ407" s="212"/>
    </row>
    <row r="408" spans="1:43" s="208" customFormat="1" ht="12.75">
      <c r="A408" s="212"/>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v>10</v>
      </c>
      <c r="X408" s="212">
        <f>MIN(Z389:AL390)</f>
        <v>150</v>
      </c>
      <c r="Y408" s="212">
        <f t="shared" si="179"/>
        <v>150</v>
      </c>
      <c r="Z408" s="212">
        <f t="shared" si="184"/>
        <v>150</v>
      </c>
      <c r="AA408" s="212">
        <f t="shared" si="180"/>
        <v>300</v>
      </c>
      <c r="AB408" s="212"/>
      <c r="AC408" s="212"/>
      <c r="AD408" s="212"/>
      <c r="AE408" s="212">
        <f t="shared" si="181"/>
        <v>10</v>
      </c>
      <c r="AF408" s="212">
        <f t="shared" si="182"/>
        <v>150</v>
      </c>
      <c r="AG408" s="212">
        <f t="shared" si="183"/>
        <v>300</v>
      </c>
      <c r="AH408" s="212"/>
      <c r="AI408" s="212"/>
      <c r="AJ408" s="212"/>
      <c r="AK408" s="212"/>
      <c r="AL408" s="212"/>
      <c r="AM408" s="212"/>
      <c r="AN408" s="212"/>
      <c r="AO408" s="212"/>
      <c r="AP408" s="212"/>
      <c r="AQ408" s="212"/>
    </row>
    <row r="409" spans="1:43" s="208" customFormat="1" ht="12.75">
      <c r="A409" s="212"/>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v>11</v>
      </c>
      <c r="X409" s="212">
        <f>MIN(Z391:AL392)</f>
        <v>0</v>
      </c>
      <c r="Y409" s="212">
        <f t="shared" si="179"/>
        <v>200</v>
      </c>
      <c r="Z409" s="212">
        <f t="shared" si="184"/>
        <v>200</v>
      </c>
      <c r="AA409" s="212">
        <f t="shared" si="180"/>
        <v>400</v>
      </c>
      <c r="AB409" s="212"/>
      <c r="AC409" s="212"/>
      <c r="AD409" s="212"/>
      <c r="AE409" s="212">
        <f t="shared" si="181"/>
        <v>11</v>
      </c>
      <c r="AF409" s="212">
        <f t="shared" si="182"/>
        <v>200</v>
      </c>
      <c r="AG409" s="212">
        <f t="shared" si="183"/>
        <v>400</v>
      </c>
      <c r="AH409" s="212"/>
      <c r="AI409" s="212"/>
      <c r="AJ409" s="212"/>
      <c r="AK409" s="212"/>
      <c r="AL409" s="212"/>
      <c r="AM409" s="212"/>
      <c r="AN409" s="212"/>
      <c r="AO409" s="212"/>
      <c r="AP409" s="212"/>
      <c r="AQ409" s="212"/>
    </row>
    <row r="410" spans="1:43" s="208" customFormat="1" ht="12.75">
      <c r="A410" s="212"/>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v>12</v>
      </c>
      <c r="X410" s="212">
        <f>MIN(Z393:AL394)</f>
        <v>0</v>
      </c>
      <c r="Y410" s="212">
        <f t="shared" si="179"/>
        <v>200</v>
      </c>
      <c r="Z410" s="212">
        <f t="shared" si="184"/>
        <v>400</v>
      </c>
      <c r="AA410" s="212">
        <f t="shared" si="180"/>
        <v>800</v>
      </c>
      <c r="AB410" s="212"/>
      <c r="AC410" s="212"/>
      <c r="AD410" s="212"/>
      <c r="AE410" s="212">
        <f t="shared" si="181"/>
        <v>12</v>
      </c>
      <c r="AF410" s="212">
        <f t="shared" si="182"/>
        <v>400</v>
      </c>
      <c r="AG410" s="212">
        <f t="shared" si="183"/>
        <v>800</v>
      </c>
      <c r="AH410" s="212"/>
      <c r="AI410" s="212"/>
      <c r="AJ410" s="212"/>
      <c r="AK410" s="212"/>
      <c r="AL410" s="212"/>
      <c r="AM410" s="212"/>
      <c r="AN410" s="212"/>
      <c r="AO410" s="212"/>
      <c r="AP410" s="212"/>
      <c r="AQ410" s="212"/>
    </row>
    <row r="411" spans="1:43" s="208" customFormat="1" ht="12.75">
      <c r="A411" s="212"/>
      <c r="B411" s="212"/>
      <c r="C411" s="212"/>
      <c r="D411" s="212"/>
      <c r="E411" s="212"/>
      <c r="F411" s="212"/>
      <c r="G411" s="212"/>
      <c r="H411" s="212"/>
      <c r="I411" s="212"/>
      <c r="J411" s="212"/>
      <c r="K411" s="212"/>
      <c r="L411" s="212"/>
      <c r="M411" s="212"/>
      <c r="N411" s="212"/>
      <c r="O411" s="212"/>
      <c r="P411" s="212"/>
      <c r="Q411" s="212"/>
      <c r="R411" s="212"/>
      <c r="S411" s="212"/>
      <c r="T411" s="212"/>
      <c r="U411" s="212"/>
      <c r="V411" s="212"/>
      <c r="W411" s="212">
        <v>13</v>
      </c>
      <c r="X411" s="212">
        <f>IF(X410=0,0,$AO$371)</f>
        <v>0</v>
      </c>
      <c r="Y411" s="212">
        <f t="shared" si="179"/>
        <v>200</v>
      </c>
      <c r="Z411" s="212">
        <f t="shared" si="184"/>
        <v>600</v>
      </c>
      <c r="AA411" s="212">
        <f t="shared" si="180"/>
        <v>1200</v>
      </c>
      <c r="AB411" s="212"/>
      <c r="AC411" s="212"/>
      <c r="AD411" s="212"/>
      <c r="AE411" s="212">
        <f t="shared" si="181"/>
        <v>13</v>
      </c>
      <c r="AF411" s="212">
        <f t="shared" si="182"/>
        <v>600</v>
      </c>
      <c r="AG411" s="212">
        <f t="shared" si="183"/>
        <v>1200</v>
      </c>
      <c r="AH411" s="212"/>
      <c r="AI411" s="212"/>
      <c r="AJ411" s="212"/>
      <c r="AK411" s="212"/>
      <c r="AL411" s="212"/>
      <c r="AM411" s="212"/>
      <c r="AN411" s="212"/>
      <c r="AO411" s="212"/>
      <c r="AP411" s="212"/>
      <c r="AQ411" s="212"/>
    </row>
    <row r="412" spans="1:43" s="208" customFormat="1" ht="12.75">
      <c r="A412" s="212"/>
      <c r="B412" s="212"/>
      <c r="C412" s="212"/>
      <c r="D412" s="212"/>
      <c r="E412" s="212"/>
      <c r="F412" s="212"/>
      <c r="G412" s="212"/>
      <c r="H412" s="212"/>
      <c r="I412" s="212"/>
      <c r="J412" s="212"/>
      <c r="K412" s="212"/>
      <c r="L412" s="212"/>
      <c r="M412" s="212"/>
      <c r="N412" s="212"/>
      <c r="O412" s="212"/>
      <c r="P412" s="212"/>
      <c r="Q412" s="212"/>
      <c r="R412" s="212"/>
      <c r="S412" s="212"/>
      <c r="T412" s="212"/>
      <c r="U412" s="212"/>
      <c r="V412" s="212"/>
      <c r="W412" s="236"/>
      <c r="X412" s="212"/>
      <c r="Y412" s="212"/>
      <c r="Z412" s="212"/>
      <c r="AA412" s="212"/>
      <c r="AB412" s="212"/>
      <c r="AC412" s="212"/>
      <c r="AD412" s="212"/>
      <c r="AE412" s="239" t="str">
        <f>AF411&amp;" Chips more by Level"</f>
        <v>600 Chips more by Level</v>
      </c>
      <c r="AF412" s="239"/>
      <c r="AG412" s="239"/>
      <c r="AH412" s="212"/>
      <c r="AI412" s="212"/>
      <c r="AJ412" s="212"/>
      <c r="AK412" s="212"/>
      <c r="AL412" s="212"/>
      <c r="AM412" s="212"/>
      <c r="AN412" s="212"/>
      <c r="AO412" s="212"/>
      <c r="AP412" s="212"/>
      <c r="AQ412" s="212"/>
    </row>
    <row r="413" spans="1:43" s="208" customFormat="1" ht="12.75">
      <c r="A413" s="212"/>
      <c r="B413" s="212"/>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c r="AF413" s="212"/>
      <c r="AG413" s="212"/>
      <c r="AH413" s="212"/>
      <c r="AI413" s="212"/>
      <c r="AJ413" s="212"/>
      <c r="AK413" s="212"/>
      <c r="AL413" s="212"/>
      <c r="AM413" s="212"/>
      <c r="AN413" s="212"/>
      <c r="AO413" s="212"/>
      <c r="AP413" s="212"/>
      <c r="AQ413" s="212"/>
    </row>
    <row r="414" spans="1:43" s="208" customFormat="1" ht="12.75">
      <c r="A414" s="212"/>
      <c r="B414" s="212"/>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2"/>
      <c r="AD414" s="212"/>
      <c r="AE414" s="212"/>
      <c r="AF414" s="212"/>
      <c r="AG414" s="212"/>
      <c r="AH414" s="212"/>
      <c r="AI414" s="212"/>
      <c r="AJ414" s="212"/>
      <c r="AK414" s="212"/>
      <c r="AL414" s="212"/>
      <c r="AM414" s="212"/>
      <c r="AN414" s="212"/>
      <c r="AO414" s="212"/>
      <c r="AP414" s="212"/>
      <c r="AQ414" s="212"/>
    </row>
    <row r="415" spans="1:43" s="208" customFormat="1" ht="12.75">
      <c r="A415" s="212"/>
      <c r="B415" s="212"/>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c r="AA415" s="212"/>
      <c r="AB415" s="212"/>
      <c r="AC415" s="212"/>
      <c r="AD415" s="212"/>
      <c r="AE415" s="212"/>
      <c r="AF415" s="212"/>
      <c r="AG415" s="212"/>
      <c r="AH415" s="212"/>
      <c r="AI415" s="212"/>
      <c r="AJ415" s="212"/>
      <c r="AK415" s="212"/>
      <c r="AL415" s="212"/>
      <c r="AM415" s="212"/>
      <c r="AN415" s="212"/>
      <c r="AO415" s="212"/>
      <c r="AP415" s="212"/>
      <c r="AQ415" s="212"/>
    </row>
    <row r="416" spans="1:43" s="208" customFormat="1" ht="12.75">
      <c r="A416" s="212"/>
      <c r="B416" s="212"/>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12"/>
      <c r="AL416" s="212"/>
      <c r="AM416" s="212"/>
      <c r="AN416" s="212"/>
      <c r="AO416" s="212"/>
      <c r="AP416" s="212"/>
      <c r="AQ416" s="212"/>
    </row>
    <row r="417" spans="1:43" s="208" customFormat="1" ht="12.75">
      <c r="A417" s="212"/>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212"/>
      <c r="AK417" s="212"/>
      <c r="AL417" s="212"/>
      <c r="AM417" s="212"/>
      <c r="AN417" s="212"/>
      <c r="AO417" s="212"/>
      <c r="AP417" s="212"/>
      <c r="AQ417" s="212"/>
    </row>
    <row r="418" spans="1:43" s="208" customFormat="1" ht="12.75">
      <c r="A418" s="212"/>
      <c r="B418" s="212"/>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c r="AA418" s="212"/>
      <c r="AB418" s="212"/>
      <c r="AC418" s="212"/>
      <c r="AD418" s="212"/>
      <c r="AE418" s="212"/>
      <c r="AF418" s="212"/>
      <c r="AG418" s="212"/>
      <c r="AH418" s="212"/>
      <c r="AI418" s="212"/>
      <c r="AJ418" s="212"/>
      <c r="AK418" s="212"/>
      <c r="AL418" s="212"/>
      <c r="AM418" s="212"/>
      <c r="AN418" s="212"/>
      <c r="AO418" s="212"/>
      <c r="AP418" s="212"/>
      <c r="AQ418" s="212"/>
    </row>
    <row r="419" spans="1:43" s="208" customFormat="1" ht="12.75">
      <c r="A419" s="212"/>
      <c r="B419" s="212"/>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c r="AA419" s="212"/>
      <c r="AB419" s="212"/>
      <c r="AC419" s="212"/>
      <c r="AD419" s="212"/>
      <c r="AE419" s="212"/>
      <c r="AF419" s="212"/>
      <c r="AG419" s="212"/>
      <c r="AH419" s="212"/>
      <c r="AI419" s="212"/>
      <c r="AJ419" s="212"/>
      <c r="AK419" s="212"/>
      <c r="AL419" s="212"/>
      <c r="AM419" s="212"/>
      <c r="AN419" s="212"/>
      <c r="AO419" s="212"/>
      <c r="AP419" s="212"/>
      <c r="AQ419" s="212"/>
    </row>
    <row r="420" spans="1:43" s="208" customFormat="1" ht="12.75">
      <c r="A420" s="212"/>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c r="AF420" s="212"/>
      <c r="AG420" s="212"/>
      <c r="AH420" s="212"/>
      <c r="AI420" s="212"/>
      <c r="AJ420" s="212"/>
      <c r="AK420" s="212"/>
      <c r="AL420" s="212"/>
      <c r="AM420" s="212"/>
      <c r="AN420" s="212"/>
      <c r="AO420" s="212"/>
      <c r="AP420" s="212"/>
      <c r="AQ420" s="212"/>
    </row>
    <row r="421" spans="1:43" s="208" customFormat="1" ht="15.75">
      <c r="A421" s="238" t="s">
        <v>168</v>
      </c>
      <c r="B421" s="238"/>
      <c r="C421" s="238"/>
      <c r="D421" s="238"/>
      <c r="E421" s="238"/>
      <c r="F421" s="238"/>
      <c r="G421" s="238"/>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c r="AP421" s="212"/>
      <c r="AQ421" s="212"/>
    </row>
    <row r="422" spans="1:43" s="208" customFormat="1" ht="12.75">
      <c r="A422" s="212"/>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c r="AA422" s="212"/>
      <c r="AB422" s="212"/>
      <c r="AC422" s="212"/>
      <c r="AD422" s="212"/>
      <c r="AE422" s="212"/>
      <c r="AF422" s="212"/>
      <c r="AG422" s="212"/>
      <c r="AH422" s="212"/>
      <c r="AI422" s="212"/>
      <c r="AJ422" s="212"/>
      <c r="AK422" s="212"/>
      <c r="AL422" s="212"/>
      <c r="AM422" s="212"/>
      <c r="AN422" s="212"/>
      <c r="AO422" s="212"/>
      <c r="AP422" s="212"/>
      <c r="AQ422" s="212"/>
    </row>
    <row r="423" spans="1:43" s="208" customFormat="1" ht="12.75">
      <c r="A423" s="240" t="s">
        <v>169</v>
      </c>
      <c r="B423" s="240"/>
      <c r="C423" s="212">
        <v>9</v>
      </c>
      <c r="D423" s="235">
        <f>C423</f>
        <v>9</v>
      </c>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c r="AP423" s="212"/>
      <c r="AQ423" s="212"/>
    </row>
    <row r="424" spans="1:43" s="208" customFormat="1" ht="12.75">
      <c r="A424" s="240" t="s">
        <v>170</v>
      </c>
      <c r="B424" s="240"/>
      <c r="C424" s="212">
        <f>C27</f>
        <v>6</v>
      </c>
      <c r="D424" s="235">
        <f>C424</f>
        <v>6</v>
      </c>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212"/>
      <c r="AO424" s="212"/>
      <c r="AP424" s="212"/>
      <c r="AQ424" s="212"/>
    </row>
    <row r="425" spans="1:43" s="208" customFormat="1" ht="12.75">
      <c r="A425" s="240" t="s">
        <v>171</v>
      </c>
      <c r="B425" s="240"/>
      <c r="C425" s="212">
        <f>CEILING(C424-(C424*70)/100,1)</f>
        <v>2</v>
      </c>
      <c r="D425" s="235">
        <f>IF(C425&gt;C423,C423,C425)</f>
        <v>2</v>
      </c>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E425" s="212"/>
      <c r="AF425" s="212"/>
      <c r="AG425" s="212"/>
      <c r="AH425" s="212"/>
      <c r="AI425" s="212"/>
      <c r="AJ425" s="212"/>
      <c r="AK425" s="212"/>
      <c r="AL425" s="212"/>
      <c r="AM425" s="212"/>
      <c r="AN425" s="212"/>
      <c r="AO425" s="212"/>
      <c r="AP425" s="212"/>
      <c r="AQ425" s="212"/>
    </row>
    <row r="426" spans="1:43" s="208" customFormat="1" ht="12.75">
      <c r="A426" s="240" t="s">
        <v>172</v>
      </c>
      <c r="B426" s="240"/>
      <c r="C426" s="212">
        <f>INT(100/C425)</f>
        <v>50</v>
      </c>
      <c r="D426" s="235">
        <f>C426</f>
        <v>50</v>
      </c>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c r="AN426" s="212"/>
      <c r="AO426" s="212"/>
      <c r="AP426" s="212"/>
      <c r="AQ426" s="212"/>
    </row>
    <row r="427" spans="1:43" s="208" customFormat="1" ht="12.75">
      <c r="A427" s="239" t="s">
        <v>173</v>
      </c>
      <c r="B427" s="239"/>
      <c r="C427" s="212"/>
      <c r="D427" s="212">
        <f>INT(D425/2)</f>
        <v>1</v>
      </c>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c r="AA427" s="212"/>
      <c r="AB427" s="212"/>
      <c r="AC427" s="212"/>
      <c r="AD427" s="212"/>
      <c r="AE427" s="212"/>
      <c r="AF427" s="212"/>
      <c r="AG427" s="212"/>
      <c r="AH427" s="212"/>
      <c r="AI427" s="212"/>
      <c r="AJ427" s="212"/>
      <c r="AK427" s="212"/>
      <c r="AL427" s="212"/>
      <c r="AM427" s="212"/>
      <c r="AN427" s="212"/>
      <c r="AO427" s="212"/>
      <c r="AP427" s="212"/>
      <c r="AQ427" s="212"/>
    </row>
    <row r="428" spans="1:43" s="208" customFormat="1" ht="12.75">
      <c r="A428" s="212"/>
      <c r="B428" s="212"/>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c r="AA428" s="212"/>
      <c r="AB428" s="212"/>
      <c r="AC428" s="212"/>
      <c r="AD428" s="212"/>
      <c r="AE428" s="212"/>
      <c r="AF428" s="212"/>
      <c r="AG428" s="212"/>
      <c r="AH428" s="212"/>
      <c r="AI428" s="212"/>
      <c r="AJ428" s="212"/>
      <c r="AK428" s="212"/>
      <c r="AL428" s="212"/>
      <c r="AM428" s="212"/>
      <c r="AN428" s="212"/>
      <c r="AO428" s="212"/>
      <c r="AP428" s="212"/>
      <c r="AQ428" s="212"/>
    </row>
    <row r="429" spans="1:43" s="208" customFormat="1" ht="12.75">
      <c r="A429" s="212"/>
      <c r="B429" s="212"/>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c r="AP429" s="212"/>
      <c r="AQ429" s="212"/>
    </row>
    <row r="430" spans="1:43" s="208" customFormat="1" ht="12.75">
      <c r="A430" s="212"/>
      <c r="B430" s="212"/>
      <c r="C430" s="212"/>
      <c r="D430" s="212"/>
      <c r="E430" s="232"/>
      <c r="F430" s="212"/>
      <c r="G430" s="232"/>
      <c r="H430" s="212"/>
      <c r="I430" s="232"/>
      <c r="J430" s="212"/>
      <c r="K430" s="212"/>
      <c r="L430" s="212"/>
      <c r="M430" s="212"/>
      <c r="N430" s="212"/>
      <c r="O430" s="212"/>
      <c r="P430" s="212"/>
      <c r="Q430" s="212"/>
      <c r="R430" s="212"/>
      <c r="S430" s="212"/>
      <c r="T430" s="212"/>
      <c r="U430" s="212"/>
      <c r="V430" s="212"/>
      <c r="W430" s="212"/>
      <c r="X430" s="212"/>
      <c r="Y430" s="212"/>
      <c r="Z430" s="212"/>
      <c r="AA430" s="212"/>
      <c r="AB430" s="212"/>
      <c r="AC430" s="212"/>
      <c r="AD430" s="212"/>
      <c r="AE430" s="212"/>
      <c r="AF430" s="212"/>
      <c r="AG430" s="212"/>
      <c r="AH430" s="212"/>
      <c r="AI430" s="212"/>
      <c r="AJ430" s="212"/>
      <c r="AK430" s="212"/>
      <c r="AL430" s="212"/>
      <c r="AM430" s="212"/>
      <c r="AN430" s="212"/>
      <c r="AO430" s="212"/>
      <c r="AP430" s="212"/>
      <c r="AQ430" s="212"/>
    </row>
    <row r="431" spans="1:43" s="208" customFormat="1" ht="12.75">
      <c r="A431" s="212"/>
      <c r="B431" s="212"/>
      <c r="C431" s="212"/>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12"/>
      <c r="AK431" s="212"/>
      <c r="AL431" s="212"/>
      <c r="AM431" s="212"/>
      <c r="AN431" s="212"/>
      <c r="AO431" s="212"/>
      <c r="AP431" s="212"/>
      <c r="AQ431" s="212"/>
    </row>
    <row r="432" spans="1:43" s="208" customFormat="1" ht="12.75">
      <c r="A432" s="212" t="s">
        <v>177</v>
      </c>
      <c r="B432" s="241" t="s">
        <v>175</v>
      </c>
      <c r="C432" s="242" t="s">
        <v>176</v>
      </c>
      <c r="D432" s="242" t="s">
        <v>174</v>
      </c>
      <c r="E432" s="242" t="s">
        <v>178</v>
      </c>
      <c r="F432" s="212"/>
      <c r="G432" s="212"/>
      <c r="H432" s="242" t="s">
        <v>181</v>
      </c>
      <c r="I432" s="212"/>
      <c r="J432" s="212"/>
      <c r="K432" s="219" t="s">
        <v>182</v>
      </c>
      <c r="L432" s="212"/>
      <c r="M432" s="242"/>
      <c r="N432" s="212"/>
      <c r="O432" s="212"/>
      <c r="P432" s="212"/>
      <c r="Q432" s="212"/>
      <c r="R432" s="212"/>
      <c r="S432" s="212"/>
      <c r="T432" s="212"/>
      <c r="U432" s="212"/>
      <c r="V432" s="212"/>
      <c r="W432" s="212"/>
      <c r="X432" s="212"/>
      <c r="Y432" s="212"/>
      <c r="Z432" s="212"/>
      <c r="AA432" s="212"/>
      <c r="AB432" s="212"/>
      <c r="AC432" s="212"/>
      <c r="AD432" s="212"/>
      <c r="AE432" s="212"/>
      <c r="AF432" s="212"/>
      <c r="AG432" s="212"/>
      <c r="AH432" s="212"/>
      <c r="AI432" s="212"/>
      <c r="AJ432" s="212"/>
      <c r="AK432" s="212"/>
      <c r="AL432" s="212"/>
      <c r="AM432" s="212"/>
      <c r="AN432" s="212"/>
      <c r="AO432" s="212"/>
      <c r="AP432" s="212"/>
      <c r="AQ432" s="212"/>
    </row>
    <row r="433" spans="1:43" s="208" customFormat="1" ht="12.75">
      <c r="A433" s="212">
        <v>1</v>
      </c>
      <c r="B433" s="212">
        <v>40</v>
      </c>
      <c r="C433" s="243">
        <f aca="true" t="shared" si="185" ref="C433:C441">IF(A433&lt;$D$425+1,A433,"")</f>
        <v>1</v>
      </c>
      <c r="D433" s="232">
        <f aca="true" t="shared" si="186" ref="D433:D441">IF(C433="","",ROUND(100/$D$425,2))</f>
        <v>50</v>
      </c>
      <c r="E433" s="232">
        <f>IF(D434="","0",B433)</f>
        <v>40</v>
      </c>
      <c r="F433" s="212">
        <f>ROUND(100/D425,2)</f>
        <v>50</v>
      </c>
      <c r="G433" s="212">
        <f>IF(C433="","",F433)</f>
        <v>50</v>
      </c>
      <c r="H433" s="212">
        <f>IF(G433="","",ROUND((100*G433)/$G$442,2))</f>
        <v>62.5</v>
      </c>
      <c r="I433" s="212">
        <f>IF(H433="","",FLOOR(H433,0.5))</f>
        <v>62.5</v>
      </c>
      <c r="J433" s="212">
        <f>IF(H433="","",FLOOR((I433+I443),5))</f>
        <v>60</v>
      </c>
      <c r="K433" s="212">
        <f>IF(H433="","",J433)</f>
        <v>60</v>
      </c>
      <c r="L433" s="212">
        <f>IF(H433="","",K433)</f>
        <v>60</v>
      </c>
      <c r="M433" s="242">
        <f>IF(H433="","",L433)</f>
        <v>60</v>
      </c>
      <c r="N433" s="212"/>
      <c r="O433" s="212"/>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212"/>
      <c r="AL433" s="212"/>
      <c r="AM433" s="212"/>
      <c r="AN433" s="212"/>
      <c r="AO433" s="212"/>
      <c r="AP433" s="212"/>
      <c r="AQ433" s="212"/>
    </row>
    <row r="434" spans="1:43" s="208" customFormat="1" ht="12.75">
      <c r="A434" s="212">
        <v>2</v>
      </c>
      <c r="B434" s="212">
        <v>35</v>
      </c>
      <c r="C434" s="243">
        <f t="shared" si="185"/>
        <v>2</v>
      </c>
      <c r="D434" s="232">
        <f t="shared" si="186"/>
        <v>50</v>
      </c>
      <c r="E434" s="232" t="str">
        <f aca="true" t="shared" si="187" ref="E434:E440">IF(D435="","0",B434)</f>
        <v>0</v>
      </c>
      <c r="F434" s="212">
        <f>ROUND(F433-(F433*B433/100),2)</f>
        <v>30</v>
      </c>
      <c r="G434" s="212">
        <f aca="true" t="shared" si="188" ref="G434:G441">IF(C434="","",F434)</f>
        <v>30</v>
      </c>
      <c r="H434" s="212">
        <f aca="true" t="shared" si="189" ref="H434:H441">IF(G434="","",ROUND((100*G434)/$G$442,2))</f>
        <v>37.5</v>
      </c>
      <c r="I434" s="212">
        <f aca="true" t="shared" si="190" ref="I434:I441">IF(H434="","",FLOOR(H434,0.5))</f>
        <v>37.5</v>
      </c>
      <c r="J434" s="212">
        <f aca="true" t="shared" si="191" ref="J434:J441">IF(H434="","",FLOOR(I434,0.5))</f>
        <v>37.5</v>
      </c>
      <c r="K434" s="212">
        <f>IF(H434="","",FLOOR((I434++J443),5))</f>
        <v>40</v>
      </c>
      <c r="L434" s="212">
        <f aca="true" t="shared" si="192" ref="L434:L441">IF(H434="","",K434)</f>
        <v>40</v>
      </c>
      <c r="M434" s="242">
        <f aca="true" t="shared" si="193" ref="M434:M441">IF(H434="","",L434)</f>
        <v>40</v>
      </c>
      <c r="N434" s="212"/>
      <c r="O434" s="212"/>
      <c r="P434" s="212"/>
      <c r="Q434" s="212"/>
      <c r="R434" s="212"/>
      <c r="S434" s="212"/>
      <c r="T434" s="212"/>
      <c r="U434" s="212"/>
      <c r="V434" s="212"/>
      <c r="W434" s="212"/>
      <c r="X434" s="212"/>
      <c r="Y434" s="212"/>
      <c r="Z434" s="212"/>
      <c r="AA434" s="212"/>
      <c r="AB434" s="212"/>
      <c r="AC434" s="212"/>
      <c r="AD434" s="212"/>
      <c r="AE434" s="212"/>
      <c r="AF434" s="212"/>
      <c r="AG434" s="212"/>
      <c r="AH434" s="212"/>
      <c r="AI434" s="212"/>
      <c r="AJ434" s="212"/>
      <c r="AK434" s="212"/>
      <c r="AL434" s="212"/>
      <c r="AM434" s="212"/>
      <c r="AN434" s="212"/>
      <c r="AO434" s="212"/>
      <c r="AP434" s="212"/>
      <c r="AQ434" s="212"/>
    </row>
    <row r="435" spans="1:43" s="208" customFormat="1" ht="12.75">
      <c r="A435" s="212">
        <v>3</v>
      </c>
      <c r="B435" s="212">
        <v>30</v>
      </c>
      <c r="C435" s="243">
        <f t="shared" si="185"/>
      </c>
      <c r="D435" s="232">
        <f t="shared" si="186"/>
      </c>
      <c r="E435" s="232" t="str">
        <f t="shared" si="187"/>
        <v>0</v>
      </c>
      <c r="F435" s="212">
        <f aca="true" t="shared" si="194" ref="F435:F441">ROUND(F434-(F434*B434/100),2)</f>
        <v>19.5</v>
      </c>
      <c r="G435" s="212">
        <f t="shared" si="188"/>
      </c>
      <c r="H435" s="212">
        <f t="shared" si="189"/>
      </c>
      <c r="I435" s="212">
        <f t="shared" si="190"/>
      </c>
      <c r="J435" s="212">
        <f t="shared" si="191"/>
      </c>
      <c r="K435" s="212">
        <f>IF(H435="","",J435)</f>
      </c>
      <c r="L435" s="212">
        <f>IF(H435="","",FLOOR((K435+K443),1))</f>
      </c>
      <c r="M435" s="242">
        <f t="shared" si="193"/>
      </c>
      <c r="N435" s="212"/>
      <c r="O435" s="212"/>
      <c r="P435" s="212"/>
      <c r="Q435" s="212"/>
      <c r="R435" s="212"/>
      <c r="S435" s="212"/>
      <c r="T435" s="212"/>
      <c r="U435" s="212"/>
      <c r="V435" s="212"/>
      <c r="W435" s="212"/>
      <c r="X435" s="212"/>
      <c r="Y435" s="212"/>
      <c r="Z435" s="212"/>
      <c r="AA435" s="212"/>
      <c r="AB435" s="212"/>
      <c r="AC435" s="212"/>
      <c r="AD435" s="212"/>
      <c r="AE435" s="212"/>
      <c r="AF435" s="212"/>
      <c r="AG435" s="212"/>
      <c r="AH435" s="212"/>
      <c r="AI435" s="212"/>
      <c r="AJ435" s="212"/>
      <c r="AK435" s="212"/>
      <c r="AL435" s="212"/>
      <c r="AM435" s="212"/>
      <c r="AN435" s="212"/>
      <c r="AO435" s="212"/>
      <c r="AP435" s="212"/>
      <c r="AQ435" s="212"/>
    </row>
    <row r="436" spans="1:43" s="208" customFormat="1" ht="12.75">
      <c r="A436" s="212">
        <v>4</v>
      </c>
      <c r="B436" s="212">
        <v>25</v>
      </c>
      <c r="C436" s="243">
        <f t="shared" si="185"/>
      </c>
      <c r="D436" s="232">
        <f t="shared" si="186"/>
      </c>
      <c r="E436" s="232" t="str">
        <f t="shared" si="187"/>
        <v>0</v>
      </c>
      <c r="F436" s="212">
        <f t="shared" si="194"/>
        <v>13.65</v>
      </c>
      <c r="G436" s="212">
        <f t="shared" si="188"/>
      </c>
      <c r="H436" s="212">
        <f t="shared" si="189"/>
      </c>
      <c r="I436" s="212">
        <f t="shared" si="190"/>
      </c>
      <c r="J436" s="212">
        <f t="shared" si="191"/>
      </c>
      <c r="K436" s="212">
        <f aca="true" t="shared" si="195" ref="K436:K441">IF(H436="","",J436)</f>
      </c>
      <c r="L436" s="212">
        <f t="shared" si="192"/>
      </c>
      <c r="M436" s="242">
        <f>IF(H436="","",FLOOR((L436+L443),0.1))</f>
      </c>
      <c r="N436" s="212"/>
      <c r="O436" s="212"/>
      <c r="P436" s="212"/>
      <c r="Q436" s="212"/>
      <c r="R436" s="212"/>
      <c r="S436" s="212"/>
      <c r="T436" s="212"/>
      <c r="U436" s="212"/>
      <c r="V436" s="212"/>
      <c r="W436" s="212"/>
      <c r="X436" s="212"/>
      <c r="Y436" s="212"/>
      <c r="Z436" s="212"/>
      <c r="AA436" s="212"/>
      <c r="AB436" s="212"/>
      <c r="AC436" s="212"/>
      <c r="AD436" s="212"/>
      <c r="AE436" s="212"/>
      <c r="AF436" s="212"/>
      <c r="AG436" s="212"/>
      <c r="AH436" s="212"/>
      <c r="AI436" s="212"/>
      <c r="AJ436" s="212"/>
      <c r="AK436" s="212"/>
      <c r="AL436" s="212"/>
      <c r="AM436" s="212"/>
      <c r="AN436" s="212"/>
      <c r="AO436" s="212"/>
      <c r="AP436" s="212"/>
      <c r="AQ436" s="212"/>
    </row>
    <row r="437" spans="1:43" s="208" customFormat="1" ht="12.75">
      <c r="A437" s="212">
        <v>5</v>
      </c>
      <c r="B437" s="212">
        <v>20</v>
      </c>
      <c r="C437" s="243">
        <f t="shared" si="185"/>
      </c>
      <c r="D437" s="232">
        <f t="shared" si="186"/>
      </c>
      <c r="E437" s="232" t="str">
        <f t="shared" si="187"/>
        <v>0</v>
      </c>
      <c r="F437" s="212">
        <f t="shared" si="194"/>
        <v>10.24</v>
      </c>
      <c r="G437" s="212">
        <f t="shared" si="188"/>
      </c>
      <c r="H437" s="212">
        <f t="shared" si="189"/>
      </c>
      <c r="I437" s="212">
        <f t="shared" si="190"/>
      </c>
      <c r="J437" s="212">
        <f t="shared" si="191"/>
      </c>
      <c r="K437" s="212">
        <f t="shared" si="195"/>
      </c>
      <c r="L437" s="212">
        <f t="shared" si="192"/>
      </c>
      <c r="M437" s="242">
        <f t="shared" si="193"/>
      </c>
      <c r="N437" s="212"/>
      <c r="O437" s="212"/>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12"/>
      <c r="AL437" s="212"/>
      <c r="AM437" s="212"/>
      <c r="AN437" s="212"/>
      <c r="AO437" s="212"/>
      <c r="AP437" s="212"/>
      <c r="AQ437" s="212"/>
    </row>
    <row r="438" spans="1:43" s="208" customFormat="1" ht="12.75">
      <c r="A438" s="212">
        <v>6</v>
      </c>
      <c r="B438" s="212">
        <v>15</v>
      </c>
      <c r="C438" s="243">
        <f t="shared" si="185"/>
      </c>
      <c r="D438" s="232">
        <f t="shared" si="186"/>
      </c>
      <c r="E438" s="232" t="str">
        <f t="shared" si="187"/>
        <v>0</v>
      </c>
      <c r="F438" s="212">
        <f t="shared" si="194"/>
        <v>8.19</v>
      </c>
      <c r="G438" s="212">
        <f t="shared" si="188"/>
      </c>
      <c r="H438" s="212">
        <f t="shared" si="189"/>
      </c>
      <c r="I438" s="212">
        <f t="shared" si="190"/>
      </c>
      <c r="J438" s="212">
        <f t="shared" si="191"/>
      </c>
      <c r="K438" s="212">
        <f t="shared" si="195"/>
      </c>
      <c r="L438" s="212">
        <f t="shared" si="192"/>
      </c>
      <c r="M438" s="242">
        <f t="shared" si="193"/>
      </c>
      <c r="N438" s="212"/>
      <c r="O438" s="212"/>
      <c r="P438" s="212"/>
      <c r="Q438" s="212"/>
      <c r="R438" s="212"/>
      <c r="S438" s="212"/>
      <c r="T438" s="212"/>
      <c r="U438" s="212"/>
      <c r="V438" s="212"/>
      <c r="W438" s="212"/>
      <c r="X438" s="212"/>
      <c r="Y438" s="212"/>
      <c r="Z438" s="212"/>
      <c r="AA438" s="212"/>
      <c r="AB438" s="212"/>
      <c r="AC438" s="212"/>
      <c r="AD438" s="212"/>
      <c r="AE438" s="212"/>
      <c r="AF438" s="212"/>
      <c r="AG438" s="212"/>
      <c r="AH438" s="212"/>
      <c r="AI438" s="212"/>
      <c r="AJ438" s="212"/>
      <c r="AK438" s="212"/>
      <c r="AL438" s="212"/>
      <c r="AM438" s="212"/>
      <c r="AN438" s="212"/>
      <c r="AO438" s="212"/>
      <c r="AP438" s="212"/>
      <c r="AQ438" s="212"/>
    </row>
    <row r="439" spans="1:43" s="208" customFormat="1" ht="12.75">
      <c r="A439" s="212">
        <v>7</v>
      </c>
      <c r="B439" s="212">
        <v>10</v>
      </c>
      <c r="C439" s="243">
        <f t="shared" si="185"/>
      </c>
      <c r="D439" s="232">
        <f t="shared" si="186"/>
      </c>
      <c r="E439" s="232" t="str">
        <f t="shared" si="187"/>
        <v>0</v>
      </c>
      <c r="F439" s="212">
        <f t="shared" si="194"/>
        <v>6.96</v>
      </c>
      <c r="G439" s="212">
        <f t="shared" si="188"/>
      </c>
      <c r="H439" s="212">
        <f t="shared" si="189"/>
      </c>
      <c r="I439" s="212">
        <f t="shared" si="190"/>
      </c>
      <c r="J439" s="212">
        <f t="shared" si="191"/>
      </c>
      <c r="K439" s="212">
        <f t="shared" si="195"/>
      </c>
      <c r="L439" s="212">
        <f t="shared" si="192"/>
      </c>
      <c r="M439" s="242">
        <f t="shared" si="193"/>
      </c>
      <c r="N439" s="212"/>
      <c r="O439" s="212"/>
      <c r="P439" s="212"/>
      <c r="Q439" s="212"/>
      <c r="R439" s="212"/>
      <c r="S439" s="212"/>
      <c r="T439" s="212"/>
      <c r="U439" s="212"/>
      <c r="V439" s="212"/>
      <c r="W439" s="212"/>
      <c r="X439" s="212"/>
      <c r="Y439" s="212"/>
      <c r="Z439" s="212"/>
      <c r="AA439" s="212"/>
      <c r="AB439" s="212"/>
      <c r="AC439" s="212"/>
      <c r="AD439" s="212"/>
      <c r="AE439" s="212"/>
      <c r="AF439" s="212"/>
      <c r="AG439" s="212"/>
      <c r="AH439" s="212"/>
      <c r="AI439" s="212"/>
      <c r="AJ439" s="212"/>
      <c r="AK439" s="212"/>
      <c r="AL439" s="212"/>
      <c r="AM439" s="212"/>
      <c r="AN439" s="212"/>
      <c r="AO439" s="212"/>
      <c r="AP439" s="212"/>
      <c r="AQ439" s="212"/>
    </row>
    <row r="440" spans="1:43" s="208" customFormat="1" ht="12.75">
      <c r="A440" s="212">
        <v>8</v>
      </c>
      <c r="B440" s="212">
        <v>5</v>
      </c>
      <c r="C440" s="243">
        <f t="shared" si="185"/>
      </c>
      <c r="D440" s="232">
        <f t="shared" si="186"/>
      </c>
      <c r="E440" s="232" t="str">
        <f t="shared" si="187"/>
        <v>0</v>
      </c>
      <c r="F440" s="212">
        <f t="shared" si="194"/>
        <v>6.26</v>
      </c>
      <c r="G440" s="212">
        <f t="shared" si="188"/>
      </c>
      <c r="H440" s="212">
        <f t="shared" si="189"/>
      </c>
      <c r="I440" s="212">
        <f t="shared" si="190"/>
      </c>
      <c r="J440" s="212">
        <f t="shared" si="191"/>
      </c>
      <c r="K440" s="212">
        <f t="shared" si="195"/>
      </c>
      <c r="L440" s="212">
        <f t="shared" si="192"/>
      </c>
      <c r="M440" s="242">
        <f t="shared" si="193"/>
      </c>
      <c r="N440" s="212"/>
      <c r="O440" s="212"/>
      <c r="P440" s="212"/>
      <c r="Q440" s="212"/>
      <c r="R440" s="212"/>
      <c r="S440" s="212"/>
      <c r="T440" s="212"/>
      <c r="U440" s="212"/>
      <c r="V440" s="212"/>
      <c r="W440" s="212"/>
      <c r="X440" s="212"/>
      <c r="Y440" s="212"/>
      <c r="Z440" s="212"/>
      <c r="AA440" s="212"/>
      <c r="AB440" s="212"/>
      <c r="AC440" s="212"/>
      <c r="AD440" s="212"/>
      <c r="AE440" s="212"/>
      <c r="AF440" s="212"/>
      <c r="AG440" s="212"/>
      <c r="AH440" s="212"/>
      <c r="AI440" s="212"/>
      <c r="AJ440" s="212"/>
      <c r="AK440" s="212"/>
      <c r="AL440" s="212"/>
      <c r="AM440" s="212"/>
      <c r="AN440" s="212"/>
      <c r="AO440" s="212"/>
      <c r="AP440" s="212"/>
      <c r="AQ440" s="212"/>
    </row>
    <row r="441" spans="1:43" s="208" customFormat="1" ht="12.75">
      <c r="A441" s="212">
        <v>9</v>
      </c>
      <c r="B441" s="212">
        <v>1</v>
      </c>
      <c r="C441" s="243">
        <f t="shared" si="185"/>
      </c>
      <c r="D441" s="232">
        <f t="shared" si="186"/>
      </c>
      <c r="E441" s="232">
        <v>0</v>
      </c>
      <c r="F441" s="212">
        <f t="shared" si="194"/>
        <v>5.95</v>
      </c>
      <c r="G441" s="212">
        <f t="shared" si="188"/>
      </c>
      <c r="H441" s="212">
        <f t="shared" si="189"/>
      </c>
      <c r="I441" s="212">
        <f t="shared" si="190"/>
      </c>
      <c r="J441" s="212">
        <f t="shared" si="191"/>
      </c>
      <c r="K441" s="212">
        <f t="shared" si="195"/>
      </c>
      <c r="L441" s="212">
        <f t="shared" si="192"/>
      </c>
      <c r="M441" s="242">
        <f t="shared" si="193"/>
      </c>
      <c r="N441" s="212"/>
      <c r="O441" s="212"/>
      <c r="P441" s="212"/>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212"/>
      <c r="AO441" s="212"/>
      <c r="AP441" s="212"/>
      <c r="AQ441" s="212"/>
    </row>
    <row r="442" spans="1:43" s="208" customFormat="1" ht="12.75">
      <c r="A442" s="212">
        <f>SUM(A433:A441)</f>
        <v>45</v>
      </c>
      <c r="B442" s="243">
        <f>SUM(B433:B441)</f>
        <v>181</v>
      </c>
      <c r="C442" s="243">
        <f>SUM(C433:C441)</f>
        <v>3</v>
      </c>
      <c r="D442" s="212">
        <f>SUM(D433:D441)</f>
        <v>100</v>
      </c>
      <c r="E442" s="212">
        <f>SUM(E433:$E$441)</f>
        <v>40</v>
      </c>
      <c r="F442" s="212">
        <f>SUM(F433:F441)</f>
        <v>150.75</v>
      </c>
      <c r="G442" s="212">
        <f>SUM(G433:$G$441)</f>
        <v>80</v>
      </c>
      <c r="H442" s="212">
        <f aca="true" t="shared" si="196" ref="H442:M442">SUM(H433:H441)</f>
        <v>100</v>
      </c>
      <c r="I442" s="212">
        <f t="shared" si="196"/>
        <v>100</v>
      </c>
      <c r="J442" s="212">
        <f t="shared" si="196"/>
        <v>97.5</v>
      </c>
      <c r="K442" s="212">
        <f t="shared" si="196"/>
        <v>100</v>
      </c>
      <c r="L442" s="212">
        <f t="shared" si="196"/>
        <v>100</v>
      </c>
      <c r="M442" s="242">
        <f t="shared" si="196"/>
        <v>100</v>
      </c>
      <c r="N442" s="212"/>
      <c r="O442" s="212"/>
      <c r="P442" s="212"/>
      <c r="Q442" s="212"/>
      <c r="R442" s="212"/>
      <c r="S442" s="212"/>
      <c r="T442" s="212"/>
      <c r="U442" s="212"/>
      <c r="V442" s="212"/>
      <c r="W442" s="212"/>
      <c r="X442" s="212"/>
      <c r="Y442" s="212"/>
      <c r="Z442" s="212"/>
      <c r="AA442" s="212"/>
      <c r="AB442" s="212"/>
      <c r="AC442" s="212"/>
      <c r="AD442" s="212"/>
      <c r="AE442" s="212"/>
      <c r="AF442" s="212"/>
      <c r="AG442" s="212"/>
      <c r="AH442" s="212"/>
      <c r="AI442" s="212"/>
      <c r="AJ442" s="212"/>
      <c r="AK442" s="212"/>
      <c r="AL442" s="212"/>
      <c r="AM442" s="212"/>
      <c r="AN442" s="212"/>
      <c r="AO442" s="212"/>
      <c r="AP442" s="212"/>
      <c r="AQ442" s="212"/>
    </row>
    <row r="443" spans="1:43" s="208" customFormat="1" ht="12.75">
      <c r="A443" s="212"/>
      <c r="B443" s="243"/>
      <c r="C443" s="243"/>
      <c r="D443" s="212"/>
      <c r="E443" s="212"/>
      <c r="F443" s="212"/>
      <c r="G443" s="212"/>
      <c r="H443" s="212"/>
      <c r="I443" s="212">
        <f>100-I442</f>
        <v>0</v>
      </c>
      <c r="J443" s="212">
        <f>100-J442</f>
        <v>2.5</v>
      </c>
      <c r="K443" s="212">
        <f>100-K442</f>
        <v>0</v>
      </c>
      <c r="L443" s="212">
        <f>100-L442</f>
        <v>0</v>
      </c>
      <c r="M443" s="242">
        <f>100-M442</f>
        <v>0</v>
      </c>
      <c r="N443" s="212"/>
      <c r="O443" s="212"/>
      <c r="P443" s="212"/>
      <c r="Q443" s="212"/>
      <c r="R443" s="212"/>
      <c r="S443" s="212"/>
      <c r="T443" s="212"/>
      <c r="U443" s="212"/>
      <c r="V443" s="212"/>
      <c r="W443" s="212"/>
      <c r="X443" s="212"/>
      <c r="Y443" s="212"/>
      <c r="Z443" s="212"/>
      <c r="AA443" s="212"/>
      <c r="AB443" s="212"/>
      <c r="AC443" s="212"/>
      <c r="AD443" s="212"/>
      <c r="AE443" s="212"/>
      <c r="AF443" s="212"/>
      <c r="AG443" s="212"/>
      <c r="AH443" s="212"/>
      <c r="AI443" s="212"/>
      <c r="AJ443" s="212"/>
      <c r="AK443" s="212"/>
      <c r="AL443" s="212"/>
      <c r="AM443" s="212"/>
      <c r="AN443" s="212"/>
      <c r="AO443" s="212"/>
      <c r="AP443" s="212"/>
      <c r="AQ443" s="212"/>
    </row>
    <row r="444" spans="1:43" s="208" customFormat="1" ht="12.75">
      <c r="A444" s="212"/>
      <c r="B444" s="243"/>
      <c r="C444" s="243"/>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c r="AA444" s="212"/>
      <c r="AB444" s="212"/>
      <c r="AC444" s="212"/>
      <c r="AD444" s="212"/>
      <c r="AE444" s="212"/>
      <c r="AF444" s="212"/>
      <c r="AG444" s="212"/>
      <c r="AH444" s="212"/>
      <c r="AI444" s="212"/>
      <c r="AJ444" s="212"/>
      <c r="AK444" s="212"/>
      <c r="AL444" s="212"/>
      <c r="AM444" s="212"/>
      <c r="AN444" s="212"/>
      <c r="AO444" s="212"/>
      <c r="AP444" s="212"/>
      <c r="AQ444" s="212"/>
    </row>
    <row r="445" spans="1:43" s="208" customFormat="1" ht="12.75">
      <c r="A445" s="212"/>
      <c r="B445" s="243"/>
      <c r="C445" s="243"/>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c r="AA445" s="212"/>
      <c r="AB445" s="212"/>
      <c r="AC445" s="212"/>
      <c r="AD445" s="212"/>
      <c r="AE445" s="212"/>
      <c r="AF445" s="212"/>
      <c r="AG445" s="212"/>
      <c r="AH445" s="212"/>
      <c r="AI445" s="212"/>
      <c r="AJ445" s="212"/>
      <c r="AK445" s="212"/>
      <c r="AL445" s="212"/>
      <c r="AM445" s="212"/>
      <c r="AN445" s="212"/>
      <c r="AO445" s="212"/>
      <c r="AP445" s="212"/>
      <c r="AQ445" s="212"/>
    </row>
    <row r="446" spans="1:43" s="208" customFormat="1" ht="12.75">
      <c r="A446" s="212"/>
      <c r="B446" s="243"/>
      <c r="C446" s="243"/>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c r="AA446" s="212"/>
      <c r="AB446" s="212"/>
      <c r="AC446" s="212"/>
      <c r="AD446" s="212"/>
      <c r="AE446" s="212"/>
      <c r="AF446" s="212"/>
      <c r="AG446" s="212"/>
      <c r="AH446" s="212"/>
      <c r="AI446" s="212"/>
      <c r="AJ446" s="212"/>
      <c r="AK446" s="212"/>
      <c r="AL446" s="212"/>
      <c r="AM446" s="212"/>
      <c r="AN446" s="212"/>
      <c r="AO446" s="212"/>
      <c r="AP446" s="212"/>
      <c r="AQ446" s="212"/>
    </row>
    <row r="447" spans="1:43" s="208" customFormat="1" ht="12.75">
      <c r="A447" s="212"/>
      <c r="B447" s="243"/>
      <c r="C447" s="243"/>
      <c r="D447" s="212"/>
      <c r="E447" s="212"/>
      <c r="F447" s="212"/>
      <c r="G447" s="212"/>
      <c r="H447" s="212"/>
      <c r="I447" s="212"/>
      <c r="J447" s="212"/>
      <c r="K447" s="212"/>
      <c r="L447" s="212"/>
      <c r="M447" s="212"/>
      <c r="N447" s="212"/>
      <c r="O447" s="212"/>
      <c r="P447" s="212"/>
      <c r="Q447" s="212"/>
      <c r="R447" s="212"/>
      <c r="S447" s="212"/>
      <c r="T447" s="212"/>
      <c r="U447" s="212"/>
      <c r="V447" s="212"/>
      <c r="W447" s="212"/>
      <c r="X447" s="212"/>
      <c r="Y447" s="212"/>
      <c r="Z447" s="212"/>
      <c r="AA447" s="212"/>
      <c r="AB447" s="212"/>
      <c r="AC447" s="212"/>
      <c r="AD447" s="212"/>
      <c r="AE447" s="212"/>
      <c r="AF447" s="212"/>
      <c r="AG447" s="212"/>
      <c r="AH447" s="212"/>
      <c r="AI447" s="212"/>
      <c r="AJ447" s="212"/>
      <c r="AK447" s="212"/>
      <c r="AL447" s="212"/>
      <c r="AM447" s="212"/>
      <c r="AN447" s="212"/>
      <c r="AO447" s="212"/>
      <c r="AP447" s="212"/>
      <c r="AQ447" s="212"/>
    </row>
    <row r="448" spans="1:43" s="208" customFormat="1" ht="12.75">
      <c r="A448" s="212"/>
      <c r="B448" s="243"/>
      <c r="C448" s="243"/>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c r="AA448" s="212"/>
      <c r="AB448" s="212"/>
      <c r="AC448" s="212"/>
      <c r="AD448" s="212"/>
      <c r="AE448" s="212"/>
      <c r="AF448" s="212"/>
      <c r="AG448" s="212"/>
      <c r="AH448" s="212"/>
      <c r="AI448" s="212"/>
      <c r="AJ448" s="212"/>
      <c r="AK448" s="212"/>
      <c r="AL448" s="212"/>
      <c r="AM448" s="212"/>
      <c r="AN448" s="212"/>
      <c r="AO448" s="212"/>
      <c r="AP448" s="212"/>
      <c r="AQ448" s="212"/>
    </row>
    <row r="449" spans="1:43" s="208" customFormat="1" ht="12.75">
      <c r="A449" s="212"/>
      <c r="B449" s="212"/>
      <c r="C449" s="212"/>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c r="AA449" s="212"/>
      <c r="AB449" s="212"/>
      <c r="AC449" s="212"/>
      <c r="AD449" s="212"/>
      <c r="AE449" s="212"/>
      <c r="AF449" s="212"/>
      <c r="AG449" s="212"/>
      <c r="AH449" s="212"/>
      <c r="AI449" s="212"/>
      <c r="AJ449" s="212"/>
      <c r="AK449" s="212"/>
      <c r="AL449" s="212"/>
      <c r="AM449" s="212"/>
      <c r="AN449" s="212"/>
      <c r="AO449" s="212"/>
      <c r="AP449" s="212"/>
      <c r="AQ449" s="212"/>
    </row>
    <row r="450" spans="1:43" s="208" customFormat="1" ht="12.75">
      <c r="A450" s="212"/>
      <c r="B450" s="212"/>
      <c r="C450" s="212"/>
      <c r="D450" s="212"/>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c r="AA450" s="212"/>
      <c r="AB450" s="212"/>
      <c r="AC450" s="212"/>
      <c r="AD450" s="212"/>
      <c r="AE450" s="212"/>
      <c r="AF450" s="212"/>
      <c r="AG450" s="212"/>
      <c r="AH450" s="212"/>
      <c r="AI450" s="212"/>
      <c r="AJ450" s="212"/>
      <c r="AK450" s="212"/>
      <c r="AL450" s="212"/>
      <c r="AM450" s="212"/>
      <c r="AN450" s="212"/>
      <c r="AO450" s="212"/>
      <c r="AP450" s="212"/>
      <c r="AQ450" s="212"/>
    </row>
    <row r="451" spans="1:43" s="208" customFormat="1" ht="12.75">
      <c r="A451" s="212"/>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c r="AF451" s="212"/>
      <c r="AG451" s="212"/>
      <c r="AH451" s="212"/>
      <c r="AI451" s="212"/>
      <c r="AJ451" s="212"/>
      <c r="AK451" s="212"/>
      <c r="AL451" s="212"/>
      <c r="AM451" s="212"/>
      <c r="AN451" s="212"/>
      <c r="AO451" s="212"/>
      <c r="AP451" s="212"/>
      <c r="AQ451" s="212"/>
    </row>
    <row r="452" spans="1:43" s="208" customFormat="1" ht="12.75">
      <c r="A452" s="212"/>
      <c r="B452" s="212"/>
      <c r="C452" s="212"/>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c r="AA452" s="212"/>
      <c r="AB452" s="212"/>
      <c r="AC452" s="212"/>
      <c r="AD452" s="212"/>
      <c r="AE452" s="212"/>
      <c r="AF452" s="212"/>
      <c r="AG452" s="212"/>
      <c r="AH452" s="212"/>
      <c r="AI452" s="212"/>
      <c r="AJ452" s="212"/>
      <c r="AK452" s="212"/>
      <c r="AL452" s="212"/>
      <c r="AM452" s="212"/>
      <c r="AN452" s="212"/>
      <c r="AO452" s="212"/>
      <c r="AP452" s="212"/>
      <c r="AQ452" s="212"/>
    </row>
    <row r="453" spans="1:43" s="208" customFormat="1" ht="12.75">
      <c r="A453" s="212"/>
      <c r="B453" s="212"/>
      <c r="C453" s="212"/>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c r="AA453" s="212"/>
      <c r="AB453" s="212"/>
      <c r="AC453" s="212"/>
      <c r="AD453" s="212"/>
      <c r="AE453" s="212"/>
      <c r="AF453" s="212"/>
      <c r="AG453" s="212"/>
      <c r="AH453" s="212"/>
      <c r="AI453" s="212"/>
      <c r="AJ453" s="212"/>
      <c r="AK453" s="212"/>
      <c r="AL453" s="212"/>
      <c r="AM453" s="212"/>
      <c r="AN453" s="212"/>
      <c r="AO453" s="212"/>
      <c r="AP453" s="212"/>
      <c r="AQ453" s="212"/>
    </row>
    <row r="454" spans="1:43" s="208" customFormat="1" ht="12.75">
      <c r="A454" s="212"/>
      <c r="B454" s="212"/>
      <c r="C454" s="212"/>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c r="AA454" s="212"/>
      <c r="AB454" s="212"/>
      <c r="AC454" s="212"/>
      <c r="AD454" s="212"/>
      <c r="AE454" s="212"/>
      <c r="AF454" s="212"/>
      <c r="AG454" s="212"/>
      <c r="AH454" s="212"/>
      <c r="AI454" s="212"/>
      <c r="AJ454" s="212"/>
      <c r="AK454" s="212"/>
      <c r="AL454" s="212"/>
      <c r="AM454" s="212"/>
      <c r="AN454" s="212"/>
      <c r="AO454" s="212"/>
      <c r="AP454" s="212"/>
      <c r="AQ454" s="212"/>
    </row>
    <row r="455" spans="1:43" s="208" customFormat="1" ht="12.75">
      <c r="A455" s="212"/>
      <c r="B455" s="212"/>
      <c r="C455" s="212"/>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c r="AA455" s="212"/>
      <c r="AB455" s="212"/>
      <c r="AC455" s="212"/>
      <c r="AD455" s="212"/>
      <c r="AE455" s="212"/>
      <c r="AF455" s="212"/>
      <c r="AG455" s="212"/>
      <c r="AH455" s="212"/>
      <c r="AI455" s="212"/>
      <c r="AJ455" s="212"/>
      <c r="AK455" s="212"/>
      <c r="AL455" s="212"/>
      <c r="AM455" s="212"/>
      <c r="AN455" s="212"/>
      <c r="AO455" s="212"/>
      <c r="AP455" s="212"/>
      <c r="AQ455" s="212"/>
    </row>
    <row r="456" spans="1:43" s="208" customFormat="1" ht="12.75">
      <c r="A456" s="212"/>
      <c r="B456" s="212"/>
      <c r="C456" s="212"/>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c r="AA456" s="212"/>
      <c r="AB456" s="212"/>
      <c r="AC456" s="212"/>
      <c r="AD456" s="212"/>
      <c r="AE456" s="212"/>
      <c r="AF456" s="212"/>
      <c r="AG456" s="212"/>
      <c r="AH456" s="212"/>
      <c r="AI456" s="212"/>
      <c r="AJ456" s="212"/>
      <c r="AK456" s="212"/>
      <c r="AL456" s="212"/>
      <c r="AM456" s="212"/>
      <c r="AN456" s="212"/>
      <c r="AO456" s="212"/>
      <c r="AP456" s="212"/>
      <c r="AQ456" s="212"/>
    </row>
    <row r="457" spans="1:43" s="208" customFormat="1" ht="12.75">
      <c r="A457" s="212"/>
      <c r="B457" s="212"/>
      <c r="C457" s="212"/>
      <c r="D457" s="212"/>
      <c r="E457" s="212"/>
      <c r="F457" s="212"/>
      <c r="G457" s="212"/>
      <c r="H457" s="212"/>
      <c r="I457" s="212"/>
      <c r="J457" s="212"/>
      <c r="K457" s="212"/>
      <c r="L457" s="212"/>
      <c r="M457" s="212"/>
      <c r="N457" s="212"/>
      <c r="O457" s="212"/>
      <c r="P457" s="212"/>
      <c r="Q457" s="212"/>
      <c r="R457" s="212"/>
      <c r="S457" s="212"/>
      <c r="T457" s="212"/>
      <c r="U457" s="212"/>
      <c r="V457" s="212"/>
      <c r="W457" s="212"/>
      <c r="X457" s="212"/>
      <c r="Y457" s="212"/>
      <c r="Z457" s="212"/>
      <c r="AA457" s="212"/>
      <c r="AB457" s="212"/>
      <c r="AC457" s="212"/>
      <c r="AD457" s="212"/>
      <c r="AE457" s="212"/>
      <c r="AF457" s="212"/>
      <c r="AG457" s="212"/>
      <c r="AH457" s="212"/>
      <c r="AI457" s="212"/>
      <c r="AJ457" s="212"/>
      <c r="AK457" s="212"/>
      <c r="AL457" s="212"/>
      <c r="AM457" s="212"/>
      <c r="AN457" s="212"/>
      <c r="AO457" s="212"/>
      <c r="AP457" s="212"/>
      <c r="AQ457" s="212"/>
    </row>
    <row r="458" spans="1:43" s="208" customFormat="1" ht="12.75">
      <c r="A458" s="212"/>
      <c r="B458" s="212"/>
      <c r="C458" s="212"/>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c r="AA458" s="212"/>
      <c r="AB458" s="212"/>
      <c r="AC458" s="212"/>
      <c r="AD458" s="212"/>
      <c r="AE458" s="212"/>
      <c r="AF458" s="212"/>
      <c r="AG458" s="212"/>
      <c r="AH458" s="212"/>
      <c r="AI458" s="212"/>
      <c r="AJ458" s="212"/>
      <c r="AK458" s="212"/>
      <c r="AL458" s="212"/>
      <c r="AM458" s="212"/>
      <c r="AN458" s="212"/>
      <c r="AO458" s="212"/>
      <c r="AP458" s="212"/>
      <c r="AQ458" s="212"/>
    </row>
    <row r="459" spans="1:43" s="208" customFormat="1" ht="12.75">
      <c r="A459" s="212"/>
      <c r="B459" s="212"/>
      <c r="C459" s="212"/>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c r="AA459" s="212"/>
      <c r="AB459" s="212"/>
      <c r="AC459" s="212"/>
      <c r="AD459" s="212"/>
      <c r="AE459" s="212"/>
      <c r="AF459" s="212"/>
      <c r="AG459" s="212"/>
      <c r="AH459" s="212"/>
      <c r="AI459" s="212"/>
      <c r="AJ459" s="212"/>
      <c r="AK459" s="212"/>
      <c r="AL459" s="212"/>
      <c r="AM459" s="212"/>
      <c r="AN459" s="212"/>
      <c r="AO459" s="212"/>
      <c r="AP459" s="212"/>
      <c r="AQ459" s="212"/>
    </row>
    <row r="460" spans="1:43" s="208" customFormat="1" ht="12.75">
      <c r="A460" s="212"/>
      <c r="B460" s="212"/>
      <c r="C460" s="212"/>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c r="AA460" s="212"/>
      <c r="AB460" s="212"/>
      <c r="AC460" s="212"/>
      <c r="AD460" s="212"/>
      <c r="AE460" s="212"/>
      <c r="AF460" s="212"/>
      <c r="AG460" s="212"/>
      <c r="AH460" s="212"/>
      <c r="AI460" s="212"/>
      <c r="AJ460" s="212"/>
      <c r="AK460" s="212"/>
      <c r="AL460" s="212"/>
      <c r="AM460" s="212"/>
      <c r="AN460" s="212"/>
      <c r="AO460" s="212"/>
      <c r="AP460" s="212"/>
      <c r="AQ460" s="212"/>
    </row>
    <row r="461" spans="1:43" s="208" customFormat="1" ht="12.75">
      <c r="A461" s="212"/>
      <c r="B461" s="212"/>
      <c r="C461" s="212"/>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c r="AA461" s="212"/>
      <c r="AB461" s="212"/>
      <c r="AC461" s="212"/>
      <c r="AD461" s="212"/>
      <c r="AE461" s="212"/>
      <c r="AF461" s="212"/>
      <c r="AG461" s="212"/>
      <c r="AH461" s="212"/>
      <c r="AI461" s="212"/>
      <c r="AJ461" s="212"/>
      <c r="AK461" s="212"/>
      <c r="AL461" s="212"/>
      <c r="AM461" s="212"/>
      <c r="AN461" s="212"/>
      <c r="AO461" s="212"/>
      <c r="AP461" s="212"/>
      <c r="AQ461" s="212"/>
    </row>
    <row r="462" spans="1:43" s="208" customFormat="1" ht="12.75">
      <c r="A462" s="212"/>
      <c r="B462" s="212"/>
      <c r="C462" s="212"/>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c r="AA462" s="212"/>
      <c r="AB462" s="212"/>
      <c r="AC462" s="212"/>
      <c r="AD462" s="212"/>
      <c r="AE462" s="212"/>
      <c r="AF462" s="212"/>
      <c r="AG462" s="212"/>
      <c r="AH462" s="212"/>
      <c r="AI462" s="212"/>
      <c r="AJ462" s="212"/>
      <c r="AK462" s="212"/>
      <c r="AL462" s="212"/>
      <c r="AM462" s="212"/>
      <c r="AN462" s="212"/>
      <c r="AO462" s="212"/>
      <c r="AP462" s="212"/>
      <c r="AQ462" s="212"/>
    </row>
    <row r="463" spans="1:43" s="208" customFormat="1" ht="12.75">
      <c r="A463" s="212"/>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c r="Y463" s="212"/>
      <c r="Z463" s="212"/>
      <c r="AA463" s="212"/>
      <c r="AB463" s="212"/>
      <c r="AC463" s="212"/>
      <c r="AD463" s="212"/>
      <c r="AE463" s="212"/>
      <c r="AF463" s="212"/>
      <c r="AG463" s="212"/>
      <c r="AH463" s="212"/>
      <c r="AI463" s="212"/>
      <c r="AJ463" s="212"/>
      <c r="AK463" s="212"/>
      <c r="AL463" s="212"/>
      <c r="AM463" s="212"/>
      <c r="AN463" s="212"/>
      <c r="AO463" s="212"/>
      <c r="AP463" s="212"/>
      <c r="AQ463" s="212"/>
    </row>
    <row r="464" spans="1:43" s="208" customFormat="1" ht="12.75">
      <c r="A464" s="212"/>
      <c r="B464" s="212"/>
      <c r="C464" s="212"/>
      <c r="D464" s="212"/>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c r="AA464" s="212"/>
      <c r="AB464" s="212"/>
      <c r="AC464" s="212"/>
      <c r="AD464" s="212"/>
      <c r="AE464" s="212"/>
      <c r="AF464" s="212"/>
      <c r="AG464" s="212"/>
      <c r="AH464" s="212"/>
      <c r="AI464" s="212"/>
      <c r="AJ464" s="212"/>
      <c r="AK464" s="212"/>
      <c r="AL464" s="212"/>
      <c r="AM464" s="212"/>
      <c r="AN464" s="212"/>
      <c r="AO464" s="212"/>
      <c r="AP464" s="212"/>
      <c r="AQ464" s="212"/>
    </row>
    <row r="465" spans="1:43" s="208" customFormat="1" ht="12.75">
      <c r="A465" s="212"/>
      <c r="B465" s="212"/>
      <c r="C465" s="212"/>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c r="AA465" s="212"/>
      <c r="AB465" s="212"/>
      <c r="AC465" s="212"/>
      <c r="AD465" s="212"/>
      <c r="AE465" s="212"/>
      <c r="AF465" s="212"/>
      <c r="AG465" s="212"/>
      <c r="AH465" s="212"/>
      <c r="AI465" s="212"/>
      <c r="AJ465" s="212"/>
      <c r="AK465" s="212"/>
      <c r="AL465" s="212"/>
      <c r="AM465" s="212"/>
      <c r="AN465" s="212"/>
      <c r="AO465" s="212"/>
      <c r="AP465" s="212"/>
      <c r="AQ465" s="212"/>
    </row>
    <row r="466" spans="1:43" s="208" customFormat="1" ht="12.75">
      <c r="A466" s="212"/>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c r="AA466" s="212"/>
      <c r="AB466" s="212"/>
      <c r="AC466" s="212"/>
      <c r="AD466" s="212"/>
      <c r="AE466" s="212"/>
      <c r="AF466" s="212"/>
      <c r="AG466" s="212"/>
      <c r="AH466" s="212"/>
      <c r="AI466" s="212"/>
      <c r="AJ466" s="212"/>
      <c r="AK466" s="212"/>
      <c r="AL466" s="212"/>
      <c r="AM466" s="212"/>
      <c r="AN466" s="212"/>
      <c r="AO466" s="212"/>
      <c r="AP466" s="212"/>
      <c r="AQ466" s="212"/>
    </row>
    <row r="467" spans="1:43" s="208" customFormat="1" ht="12.75">
      <c r="A467" s="212"/>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c r="AF467" s="212"/>
      <c r="AG467" s="212"/>
      <c r="AH467" s="212"/>
      <c r="AI467" s="212"/>
      <c r="AJ467" s="212"/>
      <c r="AK467" s="212"/>
      <c r="AL467" s="212"/>
      <c r="AM467" s="212"/>
      <c r="AN467" s="212"/>
      <c r="AO467" s="212"/>
      <c r="AP467" s="212"/>
      <c r="AQ467" s="212"/>
    </row>
    <row r="468" spans="1:43" s="208" customFormat="1" ht="12.75">
      <c r="A468" s="212"/>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row>
    <row r="469" spans="1:43" s="208" customFormat="1" ht="12.75">
      <c r="A469" s="212"/>
      <c r="B469" s="212"/>
      <c r="C469" s="212"/>
      <c r="D469" s="212"/>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c r="AA469" s="212"/>
      <c r="AB469" s="212"/>
      <c r="AC469" s="212"/>
      <c r="AD469" s="212"/>
      <c r="AE469" s="212"/>
      <c r="AF469" s="212"/>
      <c r="AG469" s="212"/>
      <c r="AH469" s="212"/>
      <c r="AI469" s="212"/>
      <c r="AJ469" s="212"/>
      <c r="AK469" s="212"/>
      <c r="AL469" s="212"/>
      <c r="AM469" s="212"/>
      <c r="AN469" s="212"/>
      <c r="AO469" s="212"/>
      <c r="AP469" s="212"/>
      <c r="AQ469" s="212"/>
    </row>
    <row r="470" spans="1:43" s="208" customFormat="1" ht="12.75">
      <c r="A470" s="212" t="s">
        <v>179</v>
      </c>
      <c r="B470" s="212">
        <v>1</v>
      </c>
      <c r="C470" s="212">
        <v>2</v>
      </c>
      <c r="D470" s="212">
        <v>3</v>
      </c>
      <c r="E470" s="212">
        <v>4</v>
      </c>
      <c r="F470" s="212">
        <v>5</v>
      </c>
      <c r="G470" s="212">
        <v>6</v>
      </c>
      <c r="H470" s="212">
        <v>7</v>
      </c>
      <c r="I470" s="212">
        <v>8</v>
      </c>
      <c r="J470" s="212">
        <v>9</v>
      </c>
      <c r="K470" s="212"/>
      <c r="L470" s="212"/>
      <c r="M470" s="212"/>
      <c r="N470" s="212"/>
      <c r="O470" s="212"/>
      <c r="P470" s="212"/>
      <c r="Q470" s="212"/>
      <c r="R470" s="212"/>
      <c r="S470" s="212"/>
      <c r="T470" s="212"/>
      <c r="U470" s="212"/>
      <c r="V470" s="212"/>
      <c r="W470" s="212"/>
      <c r="X470" s="212"/>
      <c r="Y470" s="212"/>
      <c r="Z470" s="212"/>
      <c r="AA470" s="212"/>
      <c r="AB470" s="212"/>
      <c r="AC470" s="212"/>
      <c r="AD470" s="212"/>
      <c r="AE470" s="212"/>
      <c r="AF470" s="212"/>
      <c r="AG470" s="212"/>
      <c r="AH470" s="212"/>
      <c r="AI470" s="212"/>
      <c r="AJ470" s="212"/>
      <c r="AK470" s="212"/>
      <c r="AL470" s="212"/>
      <c r="AM470" s="212"/>
      <c r="AN470" s="212"/>
      <c r="AO470" s="212"/>
      <c r="AP470" s="212"/>
      <c r="AQ470" s="212"/>
    </row>
    <row r="471" spans="1:43" s="208" customFormat="1" ht="12.75">
      <c r="A471" s="212" t="s">
        <v>180</v>
      </c>
      <c r="B471" s="212"/>
      <c r="C471" s="212"/>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c r="AA471" s="212"/>
      <c r="AB471" s="212"/>
      <c r="AC471" s="212"/>
      <c r="AD471" s="212"/>
      <c r="AE471" s="212"/>
      <c r="AF471" s="212"/>
      <c r="AG471" s="212"/>
      <c r="AH471" s="212"/>
      <c r="AI471" s="212"/>
      <c r="AJ471" s="212"/>
      <c r="AK471" s="212"/>
      <c r="AL471" s="212"/>
      <c r="AM471" s="212"/>
      <c r="AN471" s="212"/>
      <c r="AO471" s="212"/>
      <c r="AP471" s="212"/>
      <c r="AQ471" s="212"/>
    </row>
    <row r="472" spans="1:43" s="208" customFormat="1" ht="12.75">
      <c r="A472" s="212">
        <v>1</v>
      </c>
      <c r="B472" s="212">
        <v>100</v>
      </c>
      <c r="C472" s="212">
        <v>60</v>
      </c>
      <c r="D472" s="212">
        <v>50</v>
      </c>
      <c r="E472" s="212">
        <v>50</v>
      </c>
      <c r="F472" s="212">
        <v>40</v>
      </c>
      <c r="G472" s="212">
        <v>35</v>
      </c>
      <c r="H472" s="212">
        <v>30</v>
      </c>
      <c r="I472" s="212">
        <v>40</v>
      </c>
      <c r="J472" s="212">
        <v>40</v>
      </c>
      <c r="K472" s="212"/>
      <c r="L472" s="212"/>
      <c r="M472" s="212"/>
      <c r="N472" s="212"/>
      <c r="O472" s="212"/>
      <c r="P472" s="212"/>
      <c r="Q472" s="212"/>
      <c r="R472" s="212"/>
      <c r="S472" s="212"/>
      <c r="T472" s="212"/>
      <c r="U472" s="212"/>
      <c r="V472" s="212"/>
      <c r="W472" s="212"/>
      <c r="X472" s="212"/>
      <c r="Y472" s="212"/>
      <c r="Z472" s="212"/>
      <c r="AA472" s="212"/>
      <c r="AB472" s="212"/>
      <c r="AC472" s="212"/>
      <c r="AD472" s="212"/>
      <c r="AE472" s="212"/>
      <c r="AF472" s="212"/>
      <c r="AG472" s="212"/>
      <c r="AH472" s="212"/>
      <c r="AI472" s="212"/>
      <c r="AJ472" s="212"/>
      <c r="AK472" s="212"/>
      <c r="AL472" s="212"/>
      <c r="AM472" s="212"/>
      <c r="AN472" s="212"/>
      <c r="AO472" s="212"/>
      <c r="AP472" s="212"/>
      <c r="AQ472" s="212"/>
    </row>
    <row r="473" spans="1:43" s="208" customFormat="1" ht="12.75">
      <c r="A473" s="212">
        <v>2</v>
      </c>
      <c r="B473" s="212"/>
      <c r="C473" s="212">
        <v>40</v>
      </c>
      <c r="D473" s="212">
        <v>30</v>
      </c>
      <c r="E473" s="212">
        <v>25</v>
      </c>
      <c r="F473" s="212">
        <v>25</v>
      </c>
      <c r="G473" s="212">
        <v>25</v>
      </c>
      <c r="H473" s="212">
        <v>20</v>
      </c>
      <c r="I473" s="212"/>
      <c r="J473" s="212"/>
      <c r="K473" s="212"/>
      <c r="L473" s="212"/>
      <c r="M473" s="212"/>
      <c r="N473" s="212"/>
      <c r="O473" s="212"/>
      <c r="P473" s="212"/>
      <c r="Q473" s="212"/>
      <c r="R473" s="212"/>
      <c r="S473" s="212"/>
      <c r="T473" s="212"/>
      <c r="U473" s="212"/>
      <c r="V473" s="212"/>
      <c r="W473" s="212"/>
      <c r="X473" s="212"/>
      <c r="Y473" s="212"/>
      <c r="Z473" s="212"/>
      <c r="AA473" s="212"/>
      <c r="AB473" s="212"/>
      <c r="AC473" s="212"/>
      <c r="AD473" s="212"/>
      <c r="AE473" s="212"/>
      <c r="AF473" s="212"/>
      <c r="AG473" s="212"/>
      <c r="AH473" s="212"/>
      <c r="AI473" s="212"/>
      <c r="AJ473" s="212"/>
      <c r="AK473" s="212"/>
      <c r="AL473" s="212"/>
      <c r="AM473" s="212"/>
      <c r="AN473" s="212"/>
      <c r="AO473" s="212"/>
      <c r="AP473" s="212"/>
      <c r="AQ473" s="212"/>
    </row>
    <row r="474" spans="1:43" s="208" customFormat="1" ht="12.75">
      <c r="A474" s="212">
        <v>3</v>
      </c>
      <c r="B474" s="212"/>
      <c r="C474" s="212"/>
      <c r="D474" s="212">
        <v>20</v>
      </c>
      <c r="E474" s="212">
        <v>15</v>
      </c>
      <c r="F474" s="212">
        <v>20</v>
      </c>
      <c r="G474" s="212">
        <v>15</v>
      </c>
      <c r="H474" s="212">
        <v>20</v>
      </c>
      <c r="I474" s="212"/>
      <c r="J474" s="212"/>
      <c r="K474" s="212"/>
      <c r="L474" s="212"/>
      <c r="M474" s="212"/>
      <c r="N474" s="212"/>
      <c r="O474" s="212"/>
      <c r="P474" s="212"/>
      <c r="Q474" s="212"/>
      <c r="R474" s="212"/>
      <c r="S474" s="212"/>
      <c r="T474" s="212"/>
      <c r="U474" s="212"/>
      <c r="V474" s="212"/>
      <c r="W474" s="212"/>
      <c r="X474" s="212"/>
      <c r="Y474" s="212"/>
      <c r="Z474" s="212"/>
      <c r="AA474" s="212"/>
      <c r="AB474" s="212"/>
      <c r="AC474" s="212"/>
      <c r="AD474" s="212"/>
      <c r="AE474" s="212"/>
      <c r="AF474" s="212"/>
      <c r="AG474" s="212"/>
      <c r="AH474" s="212"/>
      <c r="AI474" s="212"/>
      <c r="AJ474" s="212"/>
      <c r="AK474" s="212"/>
      <c r="AL474" s="212"/>
      <c r="AM474" s="212"/>
      <c r="AN474" s="212"/>
      <c r="AO474" s="212"/>
      <c r="AP474" s="212"/>
      <c r="AQ474" s="212"/>
    </row>
    <row r="475" spans="1:43" s="208" customFormat="1" ht="12.75">
      <c r="A475" s="212">
        <v>4</v>
      </c>
      <c r="B475" s="212"/>
      <c r="C475" s="212"/>
      <c r="D475" s="212"/>
      <c r="E475" s="212">
        <v>10</v>
      </c>
      <c r="F475" s="212">
        <v>10</v>
      </c>
      <c r="G475" s="212">
        <v>10</v>
      </c>
      <c r="H475" s="212">
        <v>15</v>
      </c>
      <c r="I475" s="212"/>
      <c r="J475" s="212"/>
      <c r="K475" s="212"/>
      <c r="L475" s="212"/>
      <c r="M475" s="212"/>
      <c r="N475" s="212"/>
      <c r="O475" s="212"/>
      <c r="P475" s="212"/>
      <c r="Q475" s="212"/>
      <c r="R475" s="212"/>
      <c r="S475" s="212"/>
      <c r="T475" s="212"/>
      <c r="U475" s="212"/>
      <c r="V475" s="212"/>
      <c r="W475" s="212"/>
      <c r="X475" s="212"/>
      <c r="Y475" s="212"/>
      <c r="Z475" s="212"/>
      <c r="AA475" s="212"/>
      <c r="AB475" s="212"/>
      <c r="AC475" s="212"/>
      <c r="AD475" s="212"/>
      <c r="AE475" s="212"/>
      <c r="AF475" s="212"/>
      <c r="AG475" s="212"/>
      <c r="AH475" s="212"/>
      <c r="AI475" s="212"/>
      <c r="AJ475" s="212"/>
      <c r="AK475" s="212"/>
      <c r="AL475" s="212"/>
      <c r="AM475" s="212"/>
      <c r="AN475" s="212"/>
      <c r="AO475" s="212"/>
      <c r="AP475" s="212"/>
      <c r="AQ475" s="212"/>
    </row>
    <row r="476" spans="1:43" s="208" customFormat="1" ht="12.75">
      <c r="A476" s="212">
        <v>5</v>
      </c>
      <c r="B476" s="212"/>
      <c r="C476" s="212"/>
      <c r="D476" s="212"/>
      <c r="E476" s="212"/>
      <c r="F476" s="212">
        <v>5</v>
      </c>
      <c r="G476" s="212">
        <v>10</v>
      </c>
      <c r="H476" s="212">
        <v>10</v>
      </c>
      <c r="I476" s="212"/>
      <c r="J476" s="212"/>
      <c r="K476" s="212"/>
      <c r="L476" s="212"/>
      <c r="M476" s="212"/>
      <c r="N476" s="212"/>
      <c r="O476" s="212"/>
      <c r="P476" s="212"/>
      <c r="Q476" s="212"/>
      <c r="R476" s="212"/>
      <c r="S476" s="212"/>
      <c r="T476" s="212"/>
      <c r="U476" s="212"/>
      <c r="V476" s="212"/>
      <c r="W476" s="212"/>
      <c r="X476" s="212"/>
      <c r="Y476" s="212"/>
      <c r="Z476" s="212"/>
      <c r="AA476" s="212"/>
      <c r="AB476" s="212"/>
      <c r="AC476" s="212"/>
      <c r="AD476" s="212"/>
      <c r="AE476" s="212"/>
      <c r="AF476" s="212"/>
      <c r="AG476" s="212"/>
      <c r="AH476" s="212"/>
      <c r="AI476" s="212"/>
      <c r="AJ476" s="212"/>
      <c r="AK476" s="212"/>
      <c r="AL476" s="212"/>
      <c r="AM476" s="212"/>
      <c r="AN476" s="212"/>
      <c r="AO476" s="212"/>
      <c r="AP476" s="212"/>
      <c r="AQ476" s="212"/>
    </row>
    <row r="477" spans="1:43" s="208" customFormat="1" ht="12.75">
      <c r="A477" s="212">
        <v>6</v>
      </c>
      <c r="B477" s="212"/>
      <c r="C477" s="212"/>
      <c r="D477" s="212"/>
      <c r="E477" s="212"/>
      <c r="F477" s="212"/>
      <c r="G477" s="212">
        <v>5</v>
      </c>
      <c r="H477" s="212">
        <v>7.5</v>
      </c>
      <c r="I477" s="212"/>
      <c r="J477" s="212"/>
      <c r="K477" s="212"/>
      <c r="L477" s="212"/>
      <c r="M477" s="212"/>
      <c r="N477" s="212"/>
      <c r="O477" s="212"/>
      <c r="P477" s="212"/>
      <c r="Q477" s="212"/>
      <c r="R477" s="212"/>
      <c r="S477" s="212"/>
      <c r="T477" s="212"/>
      <c r="U477" s="212"/>
      <c r="V477" s="212"/>
      <c r="W477" s="212"/>
      <c r="X477" s="212"/>
      <c r="Y477" s="212"/>
      <c r="Z477" s="212"/>
      <c r="AA477" s="212"/>
      <c r="AB477" s="212"/>
      <c r="AC477" s="212"/>
      <c r="AD477" s="212"/>
      <c r="AE477" s="212"/>
      <c r="AF477" s="212"/>
      <c r="AG477" s="212"/>
      <c r="AH477" s="212"/>
      <c r="AI477" s="212"/>
      <c r="AJ477" s="212"/>
      <c r="AK477" s="212"/>
      <c r="AL477" s="212"/>
      <c r="AM477" s="212"/>
      <c r="AN477" s="212"/>
      <c r="AO477" s="212"/>
      <c r="AP477" s="212"/>
      <c r="AQ477" s="212"/>
    </row>
    <row r="478" spans="1:43" s="208" customFormat="1" ht="12.75">
      <c r="A478" s="212">
        <v>7</v>
      </c>
      <c r="B478" s="212"/>
      <c r="C478" s="212"/>
      <c r="D478" s="212"/>
      <c r="E478" s="212"/>
      <c r="F478" s="212"/>
      <c r="G478" s="212"/>
      <c r="H478" s="212">
        <v>2.5</v>
      </c>
      <c r="I478" s="212"/>
      <c r="J478" s="212"/>
      <c r="K478" s="212"/>
      <c r="L478" s="212"/>
      <c r="M478" s="212"/>
      <c r="N478" s="212"/>
      <c r="O478" s="212"/>
      <c r="P478" s="212"/>
      <c r="Q478" s="212"/>
      <c r="R478" s="212"/>
      <c r="S478" s="212"/>
      <c r="T478" s="212"/>
      <c r="U478" s="212"/>
      <c r="V478" s="212"/>
      <c r="W478" s="212"/>
      <c r="X478" s="212"/>
      <c r="Y478" s="212"/>
      <c r="Z478" s="212"/>
      <c r="AA478" s="212"/>
      <c r="AB478" s="212"/>
      <c r="AC478" s="212"/>
      <c r="AD478" s="212"/>
      <c r="AE478" s="212"/>
      <c r="AF478" s="212"/>
      <c r="AG478" s="212"/>
      <c r="AH478" s="212"/>
      <c r="AI478" s="212"/>
      <c r="AJ478" s="212"/>
      <c r="AK478" s="212"/>
      <c r="AL478" s="212"/>
      <c r="AM478" s="212"/>
      <c r="AN478" s="212"/>
      <c r="AO478" s="212"/>
      <c r="AP478" s="212"/>
      <c r="AQ478" s="212"/>
    </row>
    <row r="479" spans="1:43" s="208" customFormat="1" ht="12.75">
      <c r="A479" s="212">
        <v>8</v>
      </c>
      <c r="B479" s="212"/>
      <c r="C479" s="212"/>
      <c r="D479" s="212"/>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c r="AA479" s="212"/>
      <c r="AB479" s="212"/>
      <c r="AC479" s="212"/>
      <c r="AD479" s="212"/>
      <c r="AE479" s="212"/>
      <c r="AF479" s="212"/>
      <c r="AG479" s="212"/>
      <c r="AH479" s="212"/>
      <c r="AI479" s="212"/>
      <c r="AJ479" s="212"/>
      <c r="AK479" s="212"/>
      <c r="AL479" s="212"/>
      <c r="AM479" s="212"/>
      <c r="AN479" s="212"/>
      <c r="AO479" s="212"/>
      <c r="AP479" s="212"/>
      <c r="AQ479" s="212"/>
    </row>
    <row r="480" spans="1:43" s="208" customFormat="1" ht="12.75">
      <c r="A480" s="212">
        <v>9</v>
      </c>
      <c r="B480" s="212"/>
      <c r="C480" s="212"/>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c r="AA480" s="212"/>
      <c r="AB480" s="212"/>
      <c r="AC480" s="212"/>
      <c r="AD480" s="212"/>
      <c r="AE480" s="212"/>
      <c r="AF480" s="212"/>
      <c r="AG480" s="212"/>
      <c r="AH480" s="212"/>
      <c r="AI480" s="212"/>
      <c r="AJ480" s="212"/>
      <c r="AK480" s="212"/>
      <c r="AL480" s="212"/>
      <c r="AM480" s="212"/>
      <c r="AN480" s="212"/>
      <c r="AO480" s="212"/>
      <c r="AP480" s="212"/>
      <c r="AQ480" s="212"/>
    </row>
    <row r="481" spans="1:43" s="208" customFormat="1" ht="12.75">
      <c r="A481" s="212"/>
      <c r="B481" s="212">
        <f>SUM(B472:B480)</f>
        <v>100</v>
      </c>
      <c r="C481" s="212">
        <f aca="true" t="shared" si="197" ref="C481:J481">SUM(C472:C480)</f>
        <v>100</v>
      </c>
      <c r="D481" s="212">
        <f t="shared" si="197"/>
        <v>100</v>
      </c>
      <c r="E481" s="212">
        <f t="shared" si="197"/>
        <v>100</v>
      </c>
      <c r="F481" s="212">
        <f t="shared" si="197"/>
        <v>100</v>
      </c>
      <c r="G481" s="212">
        <f t="shared" si="197"/>
        <v>100</v>
      </c>
      <c r="H481" s="212">
        <f t="shared" si="197"/>
        <v>105</v>
      </c>
      <c r="I481" s="212">
        <f t="shared" si="197"/>
        <v>40</v>
      </c>
      <c r="J481" s="212">
        <f t="shared" si="197"/>
        <v>40</v>
      </c>
      <c r="K481" s="212"/>
      <c r="L481" s="212"/>
      <c r="M481" s="212"/>
      <c r="N481" s="212"/>
      <c r="O481" s="212"/>
      <c r="P481" s="212"/>
      <c r="Q481" s="212"/>
      <c r="R481" s="212"/>
      <c r="S481" s="212"/>
      <c r="T481" s="212"/>
      <c r="U481" s="212"/>
      <c r="V481" s="212"/>
      <c r="W481" s="212"/>
      <c r="X481" s="212"/>
      <c r="Y481" s="212"/>
      <c r="Z481" s="212"/>
      <c r="AA481" s="212"/>
      <c r="AB481" s="212"/>
      <c r="AC481" s="212"/>
      <c r="AD481" s="212"/>
      <c r="AE481" s="212"/>
      <c r="AF481" s="212"/>
      <c r="AG481" s="212"/>
      <c r="AH481" s="212"/>
      <c r="AI481" s="212"/>
      <c r="AJ481" s="212"/>
      <c r="AK481" s="212"/>
      <c r="AL481" s="212"/>
      <c r="AM481" s="212"/>
      <c r="AN481" s="212"/>
      <c r="AO481" s="212"/>
      <c r="AP481" s="212"/>
      <c r="AQ481" s="212"/>
    </row>
    <row r="482" spans="1:43" s="208" customFormat="1" ht="12.75">
      <c r="A482" s="212"/>
      <c r="B482" s="212"/>
      <c r="C482" s="212"/>
      <c r="D482" s="212"/>
      <c r="E482" s="212"/>
      <c r="F482" s="212"/>
      <c r="G482" s="212"/>
      <c r="H482" s="212"/>
      <c r="I482" s="212"/>
      <c r="J482" s="212"/>
      <c r="K482" s="212"/>
      <c r="L482" s="212"/>
      <c r="M482" s="212"/>
      <c r="N482" s="212"/>
      <c r="O482" s="212"/>
      <c r="P482" s="212"/>
      <c r="Q482" s="212"/>
      <c r="R482" s="212"/>
      <c r="S482" s="212"/>
      <c r="T482" s="212"/>
      <c r="U482" s="212"/>
      <c r="V482" s="212"/>
      <c r="W482" s="212"/>
      <c r="X482" s="212"/>
      <c r="Y482" s="212"/>
      <c r="Z482" s="212"/>
      <c r="AA482" s="212"/>
      <c r="AB482" s="212"/>
      <c r="AC482" s="212"/>
      <c r="AD482" s="212"/>
      <c r="AE482" s="212"/>
      <c r="AF482" s="212"/>
      <c r="AG482" s="212"/>
      <c r="AH482" s="212"/>
      <c r="AI482" s="212"/>
      <c r="AJ482" s="212"/>
      <c r="AK482" s="212"/>
      <c r="AL482" s="212"/>
      <c r="AM482" s="212"/>
      <c r="AN482" s="212"/>
      <c r="AO482" s="212"/>
      <c r="AP482" s="212"/>
      <c r="AQ482" s="212"/>
    </row>
    <row r="483" spans="1:43" s="208" customFormat="1" ht="12.75">
      <c r="A483" s="212"/>
      <c r="B483" s="212"/>
      <c r="C483" s="212"/>
      <c r="D483" s="212"/>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c r="AN483" s="212"/>
      <c r="AO483" s="212"/>
      <c r="AP483" s="212"/>
      <c r="AQ483" s="212"/>
    </row>
    <row r="484" spans="1:43" s="208" customFormat="1" ht="12.75">
      <c r="A484" s="212"/>
      <c r="B484" s="212"/>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c r="AA484" s="212"/>
      <c r="AB484" s="212"/>
      <c r="AC484" s="212"/>
      <c r="AD484" s="212"/>
      <c r="AE484" s="212"/>
      <c r="AF484" s="212"/>
      <c r="AG484" s="212"/>
      <c r="AH484" s="212"/>
      <c r="AI484" s="212"/>
      <c r="AJ484" s="212"/>
      <c r="AK484" s="212"/>
      <c r="AL484" s="212"/>
      <c r="AM484" s="212"/>
      <c r="AN484" s="212"/>
      <c r="AO484" s="212"/>
      <c r="AP484" s="212"/>
      <c r="AQ484" s="212"/>
    </row>
    <row r="485" spans="1:43" s="208" customFormat="1" ht="12.75">
      <c r="A485" s="212"/>
      <c r="B485" s="212"/>
      <c r="C485" s="212"/>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c r="AA485" s="212"/>
      <c r="AB485" s="212"/>
      <c r="AC485" s="212"/>
      <c r="AD485" s="212"/>
      <c r="AE485" s="212"/>
      <c r="AF485" s="212"/>
      <c r="AG485" s="212"/>
      <c r="AH485" s="212"/>
      <c r="AI485" s="212"/>
      <c r="AJ485" s="212"/>
      <c r="AK485" s="212"/>
      <c r="AL485" s="212"/>
      <c r="AM485" s="212"/>
      <c r="AN485" s="212"/>
      <c r="AO485" s="212"/>
      <c r="AP485" s="212"/>
      <c r="AQ485" s="212"/>
    </row>
    <row r="486" spans="1:43" s="208" customFormat="1" ht="12.75">
      <c r="A486" s="212"/>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c r="AA486" s="212"/>
      <c r="AB486" s="212"/>
      <c r="AC486" s="212"/>
      <c r="AD486" s="212"/>
      <c r="AE486" s="212"/>
      <c r="AF486" s="212"/>
      <c r="AG486" s="212"/>
      <c r="AH486" s="212"/>
      <c r="AI486" s="212"/>
      <c r="AJ486" s="212"/>
      <c r="AK486" s="212"/>
      <c r="AL486" s="212"/>
      <c r="AM486" s="212"/>
      <c r="AN486" s="212"/>
      <c r="AO486" s="212"/>
      <c r="AP486" s="212"/>
      <c r="AQ486" s="212"/>
    </row>
    <row r="487" spans="1:43" s="208" customFormat="1" ht="12.75">
      <c r="A487" s="212"/>
      <c r="B487" s="212"/>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c r="AA487" s="212"/>
      <c r="AB487" s="212"/>
      <c r="AC487" s="212"/>
      <c r="AD487" s="212"/>
      <c r="AE487" s="212"/>
      <c r="AF487" s="212"/>
      <c r="AG487" s="212"/>
      <c r="AH487" s="212"/>
      <c r="AI487" s="212"/>
      <c r="AJ487" s="212"/>
      <c r="AK487" s="212"/>
      <c r="AL487" s="212"/>
      <c r="AM487" s="212"/>
      <c r="AN487" s="212"/>
      <c r="AO487" s="212"/>
      <c r="AP487" s="212"/>
      <c r="AQ487" s="212"/>
    </row>
    <row r="488" spans="1:43" s="208" customFormat="1" ht="12.75">
      <c r="A488" s="212"/>
      <c r="B488" s="212"/>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c r="AA488" s="212"/>
      <c r="AB488" s="212"/>
      <c r="AC488" s="212"/>
      <c r="AD488" s="212"/>
      <c r="AE488" s="212"/>
      <c r="AF488" s="212"/>
      <c r="AG488" s="212"/>
      <c r="AH488" s="212"/>
      <c r="AI488" s="212"/>
      <c r="AJ488" s="212"/>
      <c r="AK488" s="212"/>
      <c r="AL488" s="212"/>
      <c r="AM488" s="212"/>
      <c r="AN488" s="212"/>
      <c r="AO488" s="212"/>
      <c r="AP488" s="212"/>
      <c r="AQ488" s="212"/>
    </row>
    <row r="489" spans="1:43" s="208" customFormat="1" ht="12.75">
      <c r="A489" s="212"/>
      <c r="B489" s="212"/>
      <c r="C489" s="212"/>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c r="AA489" s="212"/>
      <c r="AB489" s="212"/>
      <c r="AC489" s="212"/>
      <c r="AD489" s="212"/>
      <c r="AE489" s="212"/>
      <c r="AF489" s="212"/>
      <c r="AG489" s="212"/>
      <c r="AH489" s="212"/>
      <c r="AI489" s="212"/>
      <c r="AJ489" s="212"/>
      <c r="AK489" s="212"/>
      <c r="AL489" s="212"/>
      <c r="AM489" s="212"/>
      <c r="AN489" s="212"/>
      <c r="AO489" s="212"/>
      <c r="AP489" s="212"/>
      <c r="AQ489" s="212"/>
    </row>
    <row r="490" spans="1:43" s="208" customFormat="1" ht="12.75">
      <c r="A490" s="212"/>
      <c r="B490" s="212"/>
      <c r="C490" s="212"/>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c r="AA490" s="212"/>
      <c r="AB490" s="212"/>
      <c r="AC490" s="212"/>
      <c r="AD490" s="212"/>
      <c r="AE490" s="212"/>
      <c r="AF490" s="212"/>
      <c r="AG490" s="212"/>
      <c r="AH490" s="212"/>
      <c r="AI490" s="212"/>
      <c r="AJ490" s="212"/>
      <c r="AK490" s="212"/>
      <c r="AL490" s="212"/>
      <c r="AM490" s="212"/>
      <c r="AN490" s="212"/>
      <c r="AO490" s="212"/>
      <c r="AP490" s="212"/>
      <c r="AQ490" s="212"/>
    </row>
    <row r="491" spans="1:43" s="208" customFormat="1" ht="12.75">
      <c r="A491" s="212"/>
      <c r="B491" s="212"/>
      <c r="C491" s="212"/>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c r="AA491" s="212"/>
      <c r="AB491" s="212"/>
      <c r="AC491" s="212"/>
      <c r="AD491" s="212"/>
      <c r="AE491" s="212"/>
      <c r="AF491" s="212"/>
      <c r="AG491" s="212"/>
      <c r="AH491" s="212"/>
      <c r="AI491" s="212"/>
      <c r="AJ491" s="212"/>
      <c r="AK491" s="212"/>
      <c r="AL491" s="212"/>
      <c r="AM491" s="212"/>
      <c r="AN491" s="212"/>
      <c r="AO491" s="212"/>
      <c r="AP491" s="212"/>
      <c r="AQ491" s="212"/>
    </row>
    <row r="492" spans="1:43" s="208" customFormat="1" ht="12.75">
      <c r="A492" s="212"/>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c r="AA492" s="212"/>
      <c r="AB492" s="212"/>
      <c r="AC492" s="212"/>
      <c r="AD492" s="212"/>
      <c r="AE492" s="212"/>
      <c r="AF492" s="212"/>
      <c r="AG492" s="212"/>
      <c r="AH492" s="212"/>
      <c r="AI492" s="212"/>
      <c r="AJ492" s="212"/>
      <c r="AK492" s="212"/>
      <c r="AL492" s="212"/>
      <c r="AM492" s="212"/>
      <c r="AN492" s="212"/>
      <c r="AO492" s="212"/>
      <c r="AP492" s="212"/>
      <c r="AQ492" s="212"/>
    </row>
    <row r="493" spans="1:43" s="208" customFormat="1" ht="12.75">
      <c r="A493" s="212"/>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c r="AA493" s="212"/>
      <c r="AB493" s="212"/>
      <c r="AC493" s="212"/>
      <c r="AD493" s="212"/>
      <c r="AE493" s="212"/>
      <c r="AF493" s="212"/>
      <c r="AG493" s="212"/>
      <c r="AH493" s="212"/>
      <c r="AI493" s="212"/>
      <c r="AJ493" s="212"/>
      <c r="AK493" s="212"/>
      <c r="AL493" s="212"/>
      <c r="AM493" s="212"/>
      <c r="AN493" s="212"/>
      <c r="AO493" s="212"/>
      <c r="AP493" s="212"/>
      <c r="AQ493" s="212"/>
    </row>
    <row r="494" spans="1:43" s="208" customFormat="1" ht="12.75">
      <c r="A494" s="212"/>
      <c r="B494" s="212"/>
      <c r="C494" s="212"/>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c r="AA494" s="212"/>
      <c r="AB494" s="212"/>
      <c r="AC494" s="212"/>
      <c r="AD494" s="212"/>
      <c r="AE494" s="212"/>
      <c r="AF494" s="212"/>
      <c r="AG494" s="212"/>
      <c r="AH494" s="212"/>
      <c r="AI494" s="212"/>
      <c r="AJ494" s="212"/>
      <c r="AK494" s="212"/>
      <c r="AL494" s="212"/>
      <c r="AM494" s="212"/>
      <c r="AN494" s="212"/>
      <c r="AO494" s="212"/>
      <c r="AP494" s="212"/>
      <c r="AQ494" s="212"/>
    </row>
    <row r="495" spans="1:43" s="208" customFormat="1" ht="12.75">
      <c r="A495" s="212"/>
      <c r="B495" s="212"/>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c r="AF495" s="212"/>
      <c r="AG495" s="212"/>
      <c r="AH495" s="212"/>
      <c r="AI495" s="212"/>
      <c r="AJ495" s="212"/>
      <c r="AK495" s="212"/>
      <c r="AL495" s="212"/>
      <c r="AM495" s="212"/>
      <c r="AN495" s="212"/>
      <c r="AO495" s="212"/>
      <c r="AP495" s="212"/>
      <c r="AQ495" s="212"/>
    </row>
    <row r="496" spans="1:43" s="208" customFormat="1" ht="12.75">
      <c r="A496" s="212"/>
      <c r="B496" s="212"/>
      <c r="C496" s="212"/>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c r="AA496" s="212"/>
      <c r="AB496" s="212"/>
      <c r="AC496" s="212"/>
      <c r="AD496" s="212"/>
      <c r="AE496" s="212"/>
      <c r="AF496" s="212"/>
      <c r="AG496" s="212"/>
      <c r="AH496" s="212"/>
      <c r="AI496" s="212"/>
      <c r="AJ496" s="212"/>
      <c r="AK496" s="212"/>
      <c r="AL496" s="212"/>
      <c r="AM496" s="212"/>
      <c r="AN496" s="212"/>
      <c r="AO496" s="212"/>
      <c r="AP496" s="212"/>
      <c r="AQ496" s="212"/>
    </row>
    <row r="497" spans="1:43" s="208" customFormat="1" ht="12.75">
      <c r="A497" s="212"/>
      <c r="B497" s="212"/>
      <c r="C497" s="212"/>
      <c r="D497" s="212"/>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c r="AA497" s="212"/>
      <c r="AB497" s="212"/>
      <c r="AC497" s="212"/>
      <c r="AD497" s="212"/>
      <c r="AE497" s="212"/>
      <c r="AF497" s="212"/>
      <c r="AG497" s="212"/>
      <c r="AH497" s="212"/>
      <c r="AI497" s="212"/>
      <c r="AJ497" s="212"/>
      <c r="AK497" s="212"/>
      <c r="AL497" s="212"/>
      <c r="AM497" s="212"/>
      <c r="AN497" s="212"/>
      <c r="AO497" s="212"/>
      <c r="AP497" s="212"/>
      <c r="AQ497" s="212"/>
    </row>
    <row r="498" spans="1:43" s="208" customFormat="1" ht="12.75">
      <c r="A498" s="212"/>
      <c r="B498" s="212"/>
      <c r="C498" s="212"/>
      <c r="D498" s="212"/>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c r="AA498" s="212"/>
      <c r="AB498" s="212"/>
      <c r="AC498" s="212"/>
      <c r="AD498" s="212"/>
      <c r="AE498" s="212"/>
      <c r="AF498" s="212"/>
      <c r="AG498" s="212"/>
      <c r="AH498" s="212"/>
      <c r="AI498" s="212"/>
      <c r="AJ498" s="212"/>
      <c r="AK498" s="212"/>
      <c r="AL498" s="212"/>
      <c r="AM498" s="212"/>
      <c r="AN498" s="212"/>
      <c r="AO498" s="212"/>
      <c r="AP498" s="212"/>
      <c r="AQ498" s="212"/>
    </row>
    <row r="499" spans="1:43" s="208" customFormat="1" ht="12.75">
      <c r="A499" s="212"/>
      <c r="B499" s="212"/>
      <c r="C499" s="212"/>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c r="AA499" s="212"/>
      <c r="AB499" s="212"/>
      <c r="AC499" s="212"/>
      <c r="AD499" s="212"/>
      <c r="AE499" s="212"/>
      <c r="AF499" s="212"/>
      <c r="AG499" s="212"/>
      <c r="AH499" s="212"/>
      <c r="AI499" s="212"/>
      <c r="AJ499" s="212"/>
      <c r="AK499" s="212"/>
      <c r="AL499" s="212"/>
      <c r="AM499" s="212"/>
      <c r="AN499" s="212"/>
      <c r="AO499" s="212"/>
      <c r="AP499" s="212"/>
      <c r="AQ499" s="212"/>
    </row>
    <row r="500" spans="1:43" s="208" customFormat="1" ht="12.75">
      <c r="A500" s="212"/>
      <c r="B500" s="212"/>
      <c r="C500" s="212"/>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c r="AA500" s="212"/>
      <c r="AB500" s="212"/>
      <c r="AC500" s="212"/>
      <c r="AD500" s="212"/>
      <c r="AE500" s="212"/>
      <c r="AF500" s="212"/>
      <c r="AG500" s="212"/>
      <c r="AH500" s="212"/>
      <c r="AI500" s="212"/>
      <c r="AJ500" s="212"/>
      <c r="AK500" s="212"/>
      <c r="AL500" s="212"/>
      <c r="AM500" s="212"/>
      <c r="AN500" s="212"/>
      <c r="AO500" s="212"/>
      <c r="AP500" s="212"/>
      <c r="AQ500" s="212"/>
    </row>
    <row r="501" spans="1:43" s="208" customFormat="1" ht="12.75">
      <c r="A501" s="212"/>
      <c r="B501" s="212"/>
      <c r="C501" s="212"/>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2"/>
      <c r="AK501" s="212"/>
      <c r="AL501" s="212"/>
      <c r="AM501" s="212"/>
      <c r="AN501" s="212"/>
      <c r="AO501" s="212"/>
      <c r="AP501" s="212"/>
      <c r="AQ501" s="212"/>
    </row>
    <row r="502" spans="1:43" s="208" customFormat="1" ht="12.75">
      <c r="A502" s="212"/>
      <c r="B502" s="212"/>
      <c r="C502" s="212"/>
      <c r="D502" s="212"/>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c r="AA502" s="212"/>
      <c r="AB502" s="212"/>
      <c r="AC502" s="212"/>
      <c r="AD502" s="212"/>
      <c r="AE502" s="212"/>
      <c r="AF502" s="212"/>
      <c r="AG502" s="212"/>
      <c r="AH502" s="212"/>
      <c r="AI502" s="212"/>
      <c r="AJ502" s="212"/>
      <c r="AK502" s="212"/>
      <c r="AL502" s="212"/>
      <c r="AM502" s="212"/>
      <c r="AN502" s="212"/>
      <c r="AO502" s="212"/>
      <c r="AP502" s="212"/>
      <c r="AQ502" s="212"/>
    </row>
    <row r="503" spans="1:43" s="208" customFormat="1" ht="12.75">
      <c r="A503" s="212"/>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212"/>
      <c r="AO503" s="212"/>
      <c r="AP503" s="212"/>
      <c r="AQ503" s="212"/>
    </row>
    <row r="504" spans="1:43" s="208" customFormat="1" ht="12.75">
      <c r="A504" s="212"/>
      <c r="B504" s="212"/>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c r="AA504" s="212"/>
      <c r="AB504" s="212"/>
      <c r="AC504" s="212"/>
      <c r="AD504" s="212"/>
      <c r="AE504" s="212"/>
      <c r="AF504" s="212"/>
      <c r="AG504" s="212"/>
      <c r="AH504" s="212"/>
      <c r="AI504" s="212"/>
      <c r="AJ504" s="212"/>
      <c r="AK504" s="212"/>
      <c r="AL504" s="212"/>
      <c r="AM504" s="212"/>
      <c r="AN504" s="212"/>
      <c r="AO504" s="212"/>
      <c r="AP504" s="212"/>
      <c r="AQ504" s="212"/>
    </row>
    <row r="505" spans="1:43" s="208" customFormat="1" ht="12.75">
      <c r="A505" s="212"/>
      <c r="B505" s="212"/>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c r="AA505" s="212"/>
      <c r="AB505" s="212"/>
      <c r="AC505" s="212"/>
      <c r="AD505" s="212"/>
      <c r="AE505" s="212"/>
      <c r="AF505" s="212"/>
      <c r="AG505" s="212"/>
      <c r="AH505" s="212"/>
      <c r="AI505" s="212"/>
      <c r="AJ505" s="212"/>
      <c r="AK505" s="212"/>
      <c r="AL505" s="212"/>
      <c r="AM505" s="212"/>
      <c r="AN505" s="212"/>
      <c r="AO505" s="212"/>
      <c r="AP505" s="212"/>
      <c r="AQ505" s="212"/>
    </row>
    <row r="506" spans="1:43" s="208" customFormat="1" ht="12.75">
      <c r="A506" s="212"/>
      <c r="B506" s="212"/>
      <c r="C506" s="212"/>
      <c r="D506" s="212"/>
      <c r="E506" s="212"/>
      <c r="F506" s="212"/>
      <c r="G506" s="212"/>
      <c r="H506" s="212"/>
      <c r="I506" s="212"/>
      <c r="J506" s="212"/>
      <c r="K506" s="212"/>
      <c r="L506" s="212"/>
      <c r="M506" s="212"/>
      <c r="N506" s="212"/>
      <c r="O506" s="212"/>
      <c r="P506" s="212"/>
      <c r="Q506" s="212"/>
      <c r="R506" s="212"/>
      <c r="S506" s="212"/>
      <c r="T506" s="212"/>
      <c r="U506" s="212"/>
      <c r="V506" s="212"/>
      <c r="W506" s="212"/>
      <c r="X506" s="212"/>
      <c r="Y506" s="212"/>
      <c r="Z506" s="212"/>
      <c r="AA506" s="212"/>
      <c r="AB506" s="212"/>
      <c r="AC506" s="212"/>
      <c r="AD506" s="212"/>
      <c r="AE506" s="212"/>
      <c r="AF506" s="212"/>
      <c r="AG506" s="212"/>
      <c r="AH506" s="212"/>
      <c r="AI506" s="212"/>
      <c r="AJ506" s="212"/>
      <c r="AK506" s="212"/>
      <c r="AL506" s="212"/>
      <c r="AM506" s="212"/>
      <c r="AN506" s="212"/>
      <c r="AO506" s="212"/>
      <c r="AP506" s="212"/>
      <c r="AQ506" s="212"/>
    </row>
    <row r="507" spans="1:43" s="208" customFormat="1" ht="12.75">
      <c r="A507" s="212"/>
      <c r="B507" s="212"/>
      <c r="C507" s="212"/>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c r="AA507" s="212"/>
      <c r="AB507" s="212"/>
      <c r="AC507" s="212"/>
      <c r="AD507" s="212"/>
      <c r="AE507" s="212"/>
      <c r="AF507" s="212"/>
      <c r="AG507" s="212"/>
      <c r="AH507" s="212"/>
      <c r="AI507" s="212"/>
      <c r="AJ507" s="212"/>
      <c r="AK507" s="212"/>
      <c r="AL507" s="212"/>
      <c r="AM507" s="212"/>
      <c r="AN507" s="212"/>
      <c r="AO507" s="212"/>
      <c r="AP507" s="212"/>
      <c r="AQ507" s="212"/>
    </row>
    <row r="508" spans="1:43" s="208" customFormat="1" ht="12.75">
      <c r="A508" s="212"/>
      <c r="B508" s="212"/>
      <c r="C508" s="212"/>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c r="AA508" s="212"/>
      <c r="AB508" s="212"/>
      <c r="AC508" s="212"/>
      <c r="AD508" s="212"/>
      <c r="AE508" s="212"/>
      <c r="AF508" s="212"/>
      <c r="AG508" s="212"/>
      <c r="AH508" s="212"/>
      <c r="AI508" s="212"/>
      <c r="AJ508" s="212"/>
      <c r="AK508" s="212"/>
      <c r="AL508" s="212"/>
      <c r="AM508" s="212"/>
      <c r="AN508" s="212"/>
      <c r="AO508" s="212"/>
      <c r="AP508" s="212"/>
      <c r="AQ508" s="212"/>
    </row>
    <row r="509" spans="1:43" s="208" customFormat="1" ht="12.75">
      <c r="A509" s="212"/>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c r="AA509" s="212"/>
      <c r="AB509" s="212"/>
      <c r="AC509" s="212"/>
      <c r="AD509" s="212"/>
      <c r="AE509" s="212"/>
      <c r="AF509" s="212"/>
      <c r="AG509" s="212"/>
      <c r="AH509" s="212"/>
      <c r="AI509" s="212"/>
      <c r="AJ509" s="212"/>
      <c r="AK509" s="212"/>
      <c r="AL509" s="212"/>
      <c r="AM509" s="212"/>
      <c r="AN509" s="212"/>
      <c r="AO509" s="212"/>
      <c r="AP509" s="212"/>
      <c r="AQ509" s="212"/>
    </row>
    <row r="510" spans="1:43" s="208" customFormat="1" ht="12.75">
      <c r="A510" s="212"/>
      <c r="B510" s="212"/>
      <c r="C510" s="212"/>
      <c r="D510" s="212"/>
      <c r="E510" s="212"/>
      <c r="F510" s="212"/>
      <c r="G510" s="212"/>
      <c r="H510" s="212"/>
      <c r="I510" s="212"/>
      <c r="J510" s="212"/>
      <c r="K510" s="212"/>
      <c r="L510" s="212"/>
      <c r="M510" s="212"/>
      <c r="N510" s="212"/>
      <c r="O510" s="212"/>
      <c r="P510" s="212"/>
      <c r="Q510" s="212"/>
      <c r="R510" s="212"/>
      <c r="S510" s="212"/>
      <c r="T510" s="212"/>
      <c r="U510" s="212"/>
      <c r="V510" s="212"/>
      <c r="W510" s="212"/>
      <c r="X510" s="212"/>
      <c r="Y510" s="212"/>
      <c r="Z510" s="212"/>
      <c r="AA510" s="212"/>
      <c r="AB510" s="212"/>
      <c r="AC510" s="212"/>
      <c r="AD510" s="212"/>
      <c r="AE510" s="212"/>
      <c r="AF510" s="212"/>
      <c r="AG510" s="212"/>
      <c r="AH510" s="212"/>
      <c r="AI510" s="212"/>
      <c r="AJ510" s="212"/>
      <c r="AK510" s="212"/>
      <c r="AL510" s="212"/>
      <c r="AM510" s="212"/>
      <c r="AN510" s="212"/>
      <c r="AO510" s="212"/>
      <c r="AP510" s="212"/>
      <c r="AQ510" s="212"/>
    </row>
    <row r="511" spans="1:43" s="208" customFormat="1" ht="12.75">
      <c r="A511" s="212"/>
      <c r="B511" s="212"/>
      <c r="C511" s="212"/>
      <c r="D511" s="212"/>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c r="AA511" s="212"/>
      <c r="AB511" s="212"/>
      <c r="AC511" s="212"/>
      <c r="AD511" s="212"/>
      <c r="AE511" s="212"/>
      <c r="AF511" s="212"/>
      <c r="AG511" s="212"/>
      <c r="AH511" s="212"/>
      <c r="AI511" s="212"/>
      <c r="AJ511" s="212"/>
      <c r="AK511" s="212"/>
      <c r="AL511" s="212"/>
      <c r="AM511" s="212"/>
      <c r="AN511" s="212"/>
      <c r="AO511" s="212"/>
      <c r="AP511" s="212"/>
      <c r="AQ511" s="212"/>
    </row>
    <row r="512" spans="1:43" s="208" customFormat="1" ht="12.75">
      <c r="A512" s="212"/>
      <c r="B512" s="212"/>
      <c r="C512" s="212"/>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c r="AA512" s="212"/>
      <c r="AB512" s="212"/>
      <c r="AC512" s="212"/>
      <c r="AD512" s="212"/>
      <c r="AE512" s="212"/>
      <c r="AF512" s="212"/>
      <c r="AG512" s="212"/>
      <c r="AH512" s="212"/>
      <c r="AI512" s="212"/>
      <c r="AJ512" s="212"/>
      <c r="AK512" s="212"/>
      <c r="AL512" s="212"/>
      <c r="AM512" s="212"/>
      <c r="AN512" s="212"/>
      <c r="AO512" s="212"/>
      <c r="AP512" s="212"/>
      <c r="AQ512" s="212"/>
    </row>
    <row r="513" spans="1:43" s="208" customFormat="1" ht="12.75">
      <c r="A513" s="212"/>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c r="AA513" s="212"/>
      <c r="AB513" s="212"/>
      <c r="AC513" s="212"/>
      <c r="AD513" s="212"/>
      <c r="AE513" s="212"/>
      <c r="AF513" s="212"/>
      <c r="AG513" s="212"/>
      <c r="AH513" s="212"/>
      <c r="AI513" s="212"/>
      <c r="AJ513" s="212"/>
      <c r="AK513" s="212"/>
      <c r="AL513" s="212"/>
      <c r="AM513" s="212"/>
      <c r="AN513" s="212"/>
      <c r="AO513" s="212"/>
      <c r="AP513" s="212"/>
      <c r="AQ513" s="212"/>
    </row>
    <row r="514" spans="1:43" s="208" customFormat="1" ht="12.75">
      <c r="A514" s="212"/>
      <c r="B514" s="212"/>
      <c r="C514" s="212"/>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c r="AA514" s="212"/>
      <c r="AB514" s="212"/>
      <c r="AC514" s="212"/>
      <c r="AD514" s="212"/>
      <c r="AE514" s="212"/>
      <c r="AF514" s="212"/>
      <c r="AG514" s="212"/>
      <c r="AH514" s="212"/>
      <c r="AI514" s="212"/>
      <c r="AJ514" s="212"/>
      <c r="AK514" s="212"/>
      <c r="AL514" s="212"/>
      <c r="AM514" s="212"/>
      <c r="AN514" s="212"/>
      <c r="AO514" s="212"/>
      <c r="AP514" s="212"/>
      <c r="AQ514" s="212"/>
    </row>
    <row r="515" spans="1:43" s="208" customFormat="1" ht="12.75">
      <c r="A515" s="212"/>
      <c r="B515" s="212"/>
      <c r="C515" s="212"/>
      <c r="D515" s="212"/>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c r="AA515" s="212"/>
      <c r="AB515" s="212"/>
      <c r="AC515" s="212"/>
      <c r="AD515" s="212"/>
      <c r="AE515" s="212"/>
      <c r="AF515" s="212"/>
      <c r="AG515" s="212"/>
      <c r="AH515" s="212"/>
      <c r="AI515" s="212"/>
      <c r="AJ515" s="212"/>
      <c r="AK515" s="212"/>
      <c r="AL515" s="212"/>
      <c r="AM515" s="212"/>
      <c r="AN515" s="212"/>
      <c r="AO515" s="212"/>
      <c r="AP515" s="212"/>
      <c r="AQ515" s="212"/>
    </row>
    <row r="516" spans="1:43" s="208" customFormat="1" ht="12.75">
      <c r="A516" s="212"/>
      <c r="B516" s="212"/>
      <c r="C516" s="212"/>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c r="AA516" s="212"/>
      <c r="AB516" s="212"/>
      <c r="AC516" s="212"/>
      <c r="AD516" s="212"/>
      <c r="AE516" s="212"/>
      <c r="AF516" s="212"/>
      <c r="AG516" s="212"/>
      <c r="AH516" s="212"/>
      <c r="AI516" s="212"/>
      <c r="AJ516" s="212"/>
      <c r="AK516" s="212"/>
      <c r="AL516" s="212"/>
      <c r="AM516" s="212"/>
      <c r="AN516" s="212"/>
      <c r="AO516" s="212"/>
      <c r="AP516" s="212"/>
      <c r="AQ516" s="212"/>
    </row>
    <row r="517" spans="1:43" s="208" customFormat="1" ht="12.75">
      <c r="A517" s="212"/>
      <c r="B517" s="212"/>
      <c r="C517" s="212"/>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c r="AA517" s="212"/>
      <c r="AB517" s="212"/>
      <c r="AC517" s="212"/>
      <c r="AD517" s="212"/>
      <c r="AE517" s="212"/>
      <c r="AF517" s="212"/>
      <c r="AG517" s="212"/>
      <c r="AH517" s="212"/>
      <c r="AI517" s="212"/>
      <c r="AJ517" s="212"/>
      <c r="AK517" s="212"/>
      <c r="AL517" s="212"/>
      <c r="AM517" s="212"/>
      <c r="AN517" s="212"/>
      <c r="AO517" s="212"/>
      <c r="AP517" s="212"/>
      <c r="AQ517" s="212"/>
    </row>
    <row r="518" spans="1:43" s="208" customFormat="1" ht="12.75">
      <c r="A518" s="212"/>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c r="AA518" s="212"/>
      <c r="AB518" s="212"/>
      <c r="AC518" s="212"/>
      <c r="AD518" s="212"/>
      <c r="AE518" s="212"/>
      <c r="AF518" s="212"/>
      <c r="AG518" s="212"/>
      <c r="AH518" s="212"/>
      <c r="AI518" s="212"/>
      <c r="AJ518" s="212"/>
      <c r="AK518" s="212"/>
      <c r="AL518" s="212"/>
      <c r="AM518" s="212"/>
      <c r="AN518" s="212"/>
      <c r="AO518" s="212"/>
      <c r="AP518" s="212"/>
      <c r="AQ518" s="212"/>
    </row>
    <row r="519" spans="1:43" s="59" customFormat="1" ht="12.75">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row>
    <row r="520" spans="1:43" s="59" customFormat="1" ht="12.75">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row>
    <row r="521" spans="1:43" s="59" customFormat="1" ht="12.75">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row>
    <row r="522" spans="1:43" s="59" customFormat="1" ht="12.75">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row>
    <row r="523" spans="1:43" s="59" customFormat="1" ht="12.75">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row>
    <row r="524" spans="1:43" s="59" customFormat="1" ht="12.75">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row>
    <row r="525" spans="1:43" s="59" customFormat="1" ht="12.75">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row>
    <row r="526" spans="1:43" s="59" customFormat="1" ht="12.75">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row>
    <row r="527" spans="1:43" s="59" customFormat="1" ht="12.75">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row>
    <row r="528" spans="1:43" s="59" customFormat="1" ht="12.75">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row>
    <row r="529" spans="1:43" s="59" customFormat="1" ht="12.75">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row>
    <row r="530" spans="1:43" s="59" customFormat="1" ht="12.75">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row>
    <row r="531" spans="1:43" s="59" customFormat="1" ht="12.75">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row>
    <row r="532" spans="1:43" s="59" customFormat="1" ht="12.75">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row>
    <row r="533" spans="1:43" s="59" customFormat="1" ht="12.75">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row>
    <row r="534" spans="1:43" s="59" customFormat="1" ht="12.75">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row>
    <row r="535" spans="1:43" s="59" customFormat="1" ht="12.75">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row>
    <row r="536" spans="1:43" s="59" customFormat="1" ht="12.75">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row>
    <row r="537" spans="1:43" s="59" customFormat="1" ht="12.75">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row>
    <row r="538" spans="1:43" s="59" customFormat="1" ht="12.75">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row>
    <row r="539" spans="1:43" s="59" customFormat="1" ht="12.7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row>
    <row r="540" spans="1:43" s="59" customFormat="1" ht="12.7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row>
    <row r="541" spans="1:43" s="59" customFormat="1" ht="12.75">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row>
    <row r="542" s="59" customFormat="1" ht="12.75"/>
    <row r="543" s="59" customFormat="1" ht="12.75"/>
    <row r="544" s="59" customFormat="1" ht="12.75"/>
    <row r="545" s="59" customFormat="1" ht="12.75"/>
    <row r="546" s="59" customFormat="1" ht="12.75"/>
    <row r="547" s="59" customFormat="1" ht="12.75"/>
    <row r="548" s="59" customFormat="1" ht="12.75"/>
    <row r="549" s="59" customFormat="1" ht="12.75"/>
    <row r="550" s="59" customFormat="1" ht="12.75"/>
    <row r="551" s="59" customFormat="1" ht="12.75"/>
    <row r="552" s="59" customFormat="1" ht="12.75"/>
    <row r="553" s="59" customFormat="1" ht="12.75"/>
    <row r="554" s="59" customFormat="1" ht="12.75"/>
    <row r="555" s="59" customFormat="1" ht="12.75"/>
    <row r="556" s="59" customFormat="1" ht="12.75"/>
    <row r="557" s="59" customFormat="1" ht="12.75"/>
    <row r="558" s="59" customFormat="1" ht="12.75"/>
    <row r="559" s="59" customFormat="1" ht="12.75"/>
    <row r="560" s="59" customFormat="1" ht="12.75"/>
    <row r="561" s="59" customFormat="1" ht="12.75"/>
    <row r="562" s="59" customFormat="1" ht="12.75"/>
    <row r="563" s="59" customFormat="1" ht="12.75"/>
    <row r="564" s="59" customFormat="1" ht="12.75"/>
    <row r="565" s="59" customFormat="1" ht="12.75"/>
    <row r="566" s="59" customFormat="1" ht="12.75"/>
    <row r="567" s="59" customFormat="1" ht="12.75"/>
    <row r="568" s="59" customFormat="1" ht="12.75"/>
    <row r="569" s="59" customFormat="1" ht="12.75"/>
    <row r="570" s="59" customFormat="1" ht="12.75"/>
    <row r="571" s="59" customFormat="1" ht="12.75"/>
    <row r="572" s="59" customFormat="1" ht="12.75"/>
    <row r="573" s="59" customFormat="1" ht="12.75"/>
    <row r="574" s="59" customFormat="1" ht="12.75"/>
    <row r="575" s="59" customFormat="1" ht="12.75"/>
    <row r="576" s="59" customFormat="1" ht="12.75"/>
    <row r="577" s="59" customFormat="1" ht="12.75"/>
    <row r="578" s="59" customFormat="1" ht="12.75"/>
    <row r="579" s="59" customFormat="1" ht="12.75"/>
    <row r="580" s="59" customFormat="1" ht="12.75"/>
    <row r="581" s="59" customFormat="1" ht="12.75"/>
    <row r="582" s="59" customFormat="1" ht="12.75"/>
    <row r="583" s="59" customFormat="1" ht="12.75"/>
    <row r="584" s="59" customFormat="1" ht="12.75"/>
    <row r="585" s="59" customFormat="1" ht="12.75"/>
    <row r="586" s="59" customFormat="1" ht="12.75"/>
    <row r="587" s="59" customFormat="1" ht="12.75"/>
    <row r="588" s="59" customFormat="1" ht="12.75"/>
    <row r="589" s="59" customFormat="1" ht="12.75"/>
    <row r="590" s="59" customFormat="1" ht="12.75"/>
    <row r="591" s="59" customFormat="1" ht="12.75"/>
    <row r="592" s="59" customFormat="1" ht="12.75"/>
    <row r="593" s="59" customFormat="1" ht="12.75"/>
    <row r="594" s="59" customFormat="1" ht="12.75"/>
    <row r="595" s="59" customFormat="1" ht="12.75"/>
    <row r="596" s="59" customFormat="1" ht="12.75"/>
    <row r="597" s="59" customFormat="1" ht="12.75"/>
    <row r="598" s="59" customFormat="1" ht="12.75"/>
    <row r="599" s="59" customFormat="1" ht="12.75"/>
    <row r="600" s="59" customFormat="1" ht="12.75"/>
    <row r="601" s="59" customFormat="1" ht="12.75"/>
    <row r="602" s="59" customFormat="1" ht="12.75"/>
    <row r="603" s="59" customFormat="1" ht="12.75"/>
    <row r="604" s="59" customFormat="1" ht="12.75"/>
    <row r="605" s="59" customFormat="1" ht="12.75"/>
    <row r="606" s="59" customFormat="1" ht="12.75"/>
    <row r="607" s="59" customFormat="1" ht="12.75"/>
    <row r="608" s="59" customFormat="1" ht="12.75"/>
    <row r="609" s="59" customFormat="1" ht="12.75"/>
    <row r="610" s="59" customFormat="1" ht="12.75"/>
    <row r="611" s="59" customFormat="1" ht="12.75"/>
    <row r="612" s="59" customFormat="1" ht="12.75"/>
    <row r="613" s="59" customFormat="1" ht="12.75"/>
    <row r="614" s="59" customFormat="1" ht="12.75"/>
    <row r="615" s="59" customFormat="1" ht="12.75"/>
    <row r="616" s="59" customFormat="1" ht="12.75"/>
    <row r="617" s="59" customFormat="1" ht="12.75"/>
    <row r="618" s="59" customFormat="1" ht="12.75"/>
    <row r="619" s="59" customFormat="1" ht="12.75"/>
    <row r="620" s="59" customFormat="1" ht="12.75"/>
    <row r="621" s="59" customFormat="1" ht="12.75"/>
    <row r="622" s="59" customFormat="1" ht="12.75"/>
    <row r="623" s="59" customFormat="1" ht="12.75"/>
    <row r="624" s="59" customFormat="1" ht="12.75"/>
    <row r="625" s="59" customFormat="1" ht="12.75"/>
    <row r="626" s="59" customFormat="1" ht="12.75"/>
    <row r="627" s="59" customFormat="1" ht="12.75"/>
    <row r="628" s="59" customFormat="1" ht="12.75"/>
    <row r="629" s="59" customFormat="1" ht="12.75"/>
    <row r="630" s="59" customFormat="1" ht="12.75"/>
    <row r="631" s="59" customFormat="1" ht="12.75"/>
    <row r="632" s="59" customFormat="1" ht="12.75"/>
    <row r="633" s="59" customFormat="1" ht="12.75"/>
    <row r="634" s="59" customFormat="1" ht="12.75"/>
    <row r="635" s="59" customFormat="1" ht="12.75"/>
    <row r="636" s="59" customFormat="1" ht="12.75"/>
    <row r="637" s="59" customFormat="1" ht="12.75"/>
    <row r="638" s="59" customFormat="1" ht="12.75"/>
    <row r="639" s="59" customFormat="1" ht="12.75"/>
    <row r="640" s="59" customFormat="1" ht="12.75"/>
    <row r="641" s="59" customFormat="1" ht="12.75"/>
    <row r="642" s="59" customFormat="1" ht="12.75"/>
    <row r="643" s="59" customFormat="1" ht="12.75"/>
    <row r="644" s="59" customFormat="1" ht="12.75"/>
    <row r="645" s="59" customFormat="1" ht="12.75"/>
    <row r="646" s="59" customFormat="1" ht="12.75"/>
    <row r="647" s="59" customFormat="1" ht="12.75"/>
    <row r="648" s="59" customFormat="1" ht="12.75"/>
    <row r="649" s="59" customFormat="1" ht="12.75"/>
    <row r="650" s="59" customFormat="1" ht="12.75"/>
    <row r="651" s="59" customFormat="1" ht="12.75"/>
    <row r="652" s="59" customFormat="1" ht="12.75"/>
    <row r="653" s="59" customFormat="1" ht="12.75"/>
    <row r="654" s="59" customFormat="1" ht="12.75"/>
    <row r="655" s="59" customFormat="1" ht="12.75"/>
    <row r="656" s="59" customFormat="1" ht="12.75"/>
    <row r="657" s="59" customFormat="1" ht="12.75"/>
    <row r="658" s="59" customFormat="1" ht="12.75"/>
    <row r="659" s="59" customFormat="1" ht="12.75"/>
    <row r="660" s="59" customFormat="1" ht="12.75"/>
    <row r="661" s="59" customFormat="1" ht="12.75"/>
    <row r="662" s="59" customFormat="1" ht="12.75"/>
    <row r="663" s="59" customFormat="1" ht="12.75"/>
    <row r="664" s="59" customFormat="1" ht="12.75"/>
    <row r="665" s="59" customFormat="1" ht="12.75"/>
    <row r="666" s="59" customFormat="1" ht="12.75"/>
    <row r="667" s="59" customFormat="1" ht="12.75"/>
    <row r="668" s="59" customFormat="1" ht="12.75"/>
    <row r="669" s="59" customFormat="1" ht="12.75"/>
    <row r="670" s="59" customFormat="1" ht="12.75"/>
    <row r="671" s="59" customFormat="1" ht="12.75"/>
    <row r="672" s="59" customFormat="1" ht="12.75"/>
    <row r="673" s="59" customFormat="1" ht="12.75"/>
    <row r="674" s="59" customFormat="1" ht="12.75"/>
    <row r="675" s="59" customFormat="1" ht="12.75"/>
    <row r="676" s="59" customFormat="1" ht="12.75"/>
    <row r="677" s="59" customFormat="1" ht="12.75"/>
    <row r="678" s="59" customFormat="1" ht="12.75"/>
    <row r="679" s="59" customFormat="1" ht="12.75"/>
    <row r="680" s="59" customFormat="1" ht="12.75"/>
    <row r="681" s="59" customFormat="1" ht="12.75"/>
    <row r="682" s="59" customFormat="1" ht="12.75"/>
    <row r="683" s="59" customFormat="1" ht="12.75"/>
    <row r="684" s="59" customFormat="1" ht="12.75"/>
    <row r="685" s="59" customFormat="1" ht="12.75"/>
    <row r="686" s="59" customFormat="1" ht="12.75"/>
    <row r="687" s="59" customFormat="1" ht="12.75"/>
    <row r="688" s="59" customFormat="1" ht="12.75"/>
    <row r="689" s="59" customFormat="1" ht="12.75"/>
    <row r="690" s="59" customFormat="1" ht="12.75"/>
    <row r="691" s="59" customFormat="1" ht="12.75"/>
    <row r="692" s="59" customFormat="1" ht="12.75"/>
    <row r="693" s="59" customFormat="1" ht="12.75"/>
    <row r="694" s="59" customFormat="1" ht="12.75"/>
    <row r="695" s="59" customFormat="1" ht="12.75"/>
    <row r="696" s="59" customFormat="1" ht="12.75"/>
    <row r="697" s="59" customFormat="1" ht="12.75"/>
    <row r="698" s="59" customFormat="1" ht="12.75"/>
    <row r="699" s="59" customFormat="1" ht="12.75"/>
    <row r="700" s="59" customFormat="1" ht="12.75"/>
    <row r="701" s="59" customFormat="1" ht="12.75"/>
    <row r="702" s="59" customFormat="1" ht="12.75"/>
    <row r="703" s="59" customFormat="1" ht="12.75"/>
    <row r="704" s="59" customFormat="1" ht="12.75"/>
    <row r="705" s="59" customFormat="1" ht="12.75"/>
    <row r="706" s="59" customFormat="1" ht="12.75"/>
    <row r="707" s="59" customFormat="1" ht="12.75"/>
    <row r="708" s="59" customFormat="1" ht="12.75"/>
    <row r="709" s="59" customFormat="1" ht="12.75"/>
    <row r="710" s="59" customFormat="1" ht="12.75"/>
    <row r="711" s="59" customFormat="1" ht="12.75"/>
    <row r="712" s="59" customFormat="1" ht="12.75"/>
    <row r="713" s="59" customFormat="1" ht="12.75"/>
    <row r="714" s="59" customFormat="1" ht="12.75"/>
    <row r="715" s="59" customFormat="1" ht="12.75"/>
    <row r="716" s="59" customFormat="1" ht="12.75"/>
    <row r="717" s="59" customFormat="1" ht="12.75"/>
    <row r="718" s="59" customFormat="1" ht="12.75"/>
    <row r="719" s="59" customFormat="1" ht="12.75"/>
    <row r="720" s="59" customFormat="1" ht="12.75"/>
    <row r="721" s="59" customFormat="1" ht="12.75"/>
    <row r="722" s="59" customFormat="1" ht="12.75"/>
    <row r="723" s="59" customFormat="1" ht="12.75"/>
    <row r="724" s="59" customFormat="1" ht="12.75"/>
    <row r="725" s="59" customFormat="1" ht="12.75"/>
    <row r="726" s="59" customFormat="1" ht="12.75"/>
    <row r="727" s="59" customFormat="1" ht="12.75"/>
    <row r="728" s="59" customFormat="1" ht="12.75"/>
    <row r="729" s="59" customFormat="1" ht="12.75"/>
    <row r="730" s="59" customFormat="1" ht="12.75"/>
    <row r="731" s="59" customFormat="1" ht="12.75"/>
    <row r="732" s="59" customFormat="1" ht="12.75"/>
    <row r="733" s="59" customFormat="1" ht="12.75"/>
    <row r="734" s="59" customFormat="1" ht="12.75"/>
    <row r="735" s="59" customFormat="1" ht="12.75"/>
    <row r="736" s="59" customFormat="1" ht="12.75"/>
    <row r="737" s="59" customFormat="1" ht="12.75"/>
    <row r="738" s="59" customFormat="1" ht="12.75"/>
    <row r="739" s="59" customFormat="1" ht="12.75"/>
    <row r="740" s="59" customFormat="1" ht="12.75"/>
    <row r="741" s="59" customFormat="1" ht="12.75"/>
    <row r="742" s="59" customFormat="1" ht="12.75"/>
    <row r="743" s="59" customFormat="1" ht="12.75"/>
    <row r="744" s="59" customFormat="1" ht="12.75"/>
    <row r="745" s="59" customFormat="1" ht="12.75"/>
    <row r="746" s="59" customFormat="1" ht="12.75"/>
    <row r="747" s="59" customFormat="1" ht="12.75"/>
    <row r="748" s="59" customFormat="1" ht="12.75"/>
    <row r="749" s="59" customFormat="1" ht="12.75"/>
    <row r="750" s="59" customFormat="1" ht="12.75"/>
    <row r="751" s="59" customFormat="1" ht="12.75"/>
    <row r="752" s="59" customFormat="1" ht="12.75"/>
    <row r="753" s="59" customFormat="1" ht="12.75"/>
    <row r="754" s="59" customFormat="1" ht="12.75"/>
    <row r="755" s="59" customFormat="1" ht="12.75"/>
    <row r="756" s="59" customFormat="1" ht="12.75"/>
    <row r="757" s="59" customFormat="1" ht="12.75"/>
    <row r="758" s="59" customFormat="1" ht="12.75"/>
    <row r="759" s="59" customFormat="1" ht="12.75"/>
    <row r="760" s="59" customFormat="1" ht="12.75"/>
    <row r="761" s="59" customFormat="1" ht="12.75"/>
    <row r="762" s="59" customFormat="1" ht="12.75"/>
    <row r="763" s="59" customFormat="1" ht="12.75"/>
    <row r="764" s="59" customFormat="1" ht="12.75"/>
    <row r="765" s="59" customFormat="1" ht="12.75"/>
    <row r="766" s="59" customFormat="1" ht="12.75"/>
    <row r="767" s="59" customFormat="1" ht="12.75"/>
    <row r="768" s="59" customFormat="1" ht="12.75"/>
    <row r="769" s="59" customFormat="1" ht="12.75"/>
    <row r="770" s="59" customFormat="1" ht="12.75"/>
    <row r="771" s="59" customFormat="1" ht="12.75"/>
    <row r="772" s="59" customFormat="1" ht="12.75"/>
    <row r="773" s="59" customFormat="1" ht="12.75"/>
    <row r="774" s="59" customFormat="1" ht="12.75"/>
    <row r="775" s="59" customFormat="1" ht="12.75"/>
    <row r="776" s="59" customFormat="1" ht="12.75"/>
    <row r="777" s="59" customFormat="1" ht="12.75"/>
    <row r="778" s="59" customFormat="1" ht="12.75"/>
    <row r="779" s="59" customFormat="1" ht="12.75"/>
    <row r="780" s="59" customFormat="1" ht="12.75"/>
    <row r="781" s="59" customFormat="1" ht="12.75"/>
    <row r="782" s="59" customFormat="1" ht="12.75"/>
    <row r="783" s="59" customFormat="1" ht="12.75"/>
    <row r="784" s="59" customFormat="1" ht="12.75"/>
    <row r="785" s="59" customFormat="1" ht="12.75"/>
    <row r="786" s="59" customFormat="1" ht="12.75"/>
    <row r="787" s="59" customFormat="1" ht="12.75"/>
    <row r="788" s="59" customFormat="1" ht="12.75"/>
    <row r="789" s="59" customFormat="1" ht="12.75"/>
    <row r="790" s="59" customFormat="1" ht="12.75"/>
    <row r="791" s="59" customFormat="1" ht="12.75"/>
    <row r="792" s="59" customFormat="1" ht="12.75"/>
    <row r="793" s="59" customFormat="1" ht="12.75"/>
    <row r="794" s="59" customFormat="1" ht="12.75"/>
    <row r="795" s="59" customFormat="1" ht="12.75"/>
    <row r="796" s="59" customFormat="1" ht="12.75"/>
    <row r="797" s="59" customFormat="1" ht="12.75"/>
    <row r="798" s="59" customFormat="1" ht="12.75"/>
    <row r="799" s="59" customFormat="1" ht="12.75"/>
    <row r="800" s="59" customFormat="1" ht="12.75"/>
    <row r="801" s="59" customFormat="1" ht="12.75"/>
    <row r="802" s="59" customFormat="1" ht="12.75"/>
    <row r="803" s="59" customFormat="1" ht="12.75"/>
    <row r="804" s="59" customFormat="1" ht="12.75"/>
    <row r="805" s="59" customFormat="1" ht="12.75"/>
    <row r="806" s="59" customFormat="1" ht="12.75"/>
    <row r="807" s="59" customFormat="1" ht="12.75"/>
    <row r="808" s="59" customFormat="1" ht="12.75"/>
    <row r="809" s="59" customFormat="1" ht="12.75"/>
    <row r="810" s="59" customFormat="1" ht="12.75"/>
    <row r="811" s="59" customFormat="1" ht="12.75"/>
    <row r="812" s="59" customFormat="1" ht="12.75"/>
    <row r="813" s="59" customFormat="1" ht="12.75"/>
    <row r="814" s="59" customFormat="1" ht="12.75"/>
    <row r="815" s="59" customFormat="1" ht="12.75"/>
    <row r="816" s="59" customFormat="1" ht="12.75"/>
    <row r="817" s="59" customFormat="1" ht="12.75"/>
    <row r="818" s="59" customFormat="1" ht="12.75"/>
    <row r="819" s="59" customFormat="1" ht="12.75"/>
    <row r="820" s="59" customFormat="1" ht="12.75"/>
    <row r="821" s="59" customFormat="1" ht="12.75"/>
    <row r="822" s="59" customFormat="1" ht="12.75"/>
    <row r="823" s="59" customFormat="1" ht="12.75"/>
    <row r="824" s="59" customFormat="1" ht="12.75"/>
    <row r="825" s="59" customFormat="1" ht="12.75"/>
    <row r="826" s="59" customFormat="1" ht="12.75"/>
    <row r="827" s="59" customFormat="1" ht="12.75"/>
    <row r="828" s="59" customFormat="1" ht="12.75"/>
    <row r="829" s="59" customFormat="1" ht="12.75"/>
    <row r="830" s="59" customFormat="1" ht="12.75"/>
    <row r="831" s="59" customFormat="1" ht="12.75"/>
    <row r="832" s="59" customFormat="1" ht="12.75"/>
    <row r="833" s="59" customFormat="1" ht="12.75"/>
    <row r="834" s="59" customFormat="1" ht="12.75"/>
    <row r="835" s="59" customFormat="1" ht="12.75"/>
    <row r="836" s="59" customFormat="1" ht="12.75"/>
    <row r="837" s="59" customFormat="1" ht="12.75"/>
    <row r="838" s="59" customFormat="1" ht="12.75"/>
    <row r="839" s="59" customFormat="1" ht="12.75"/>
    <row r="840" s="59" customFormat="1" ht="12.75"/>
    <row r="841" s="59" customFormat="1" ht="12.75"/>
    <row r="842" s="59" customFormat="1" ht="12.75"/>
    <row r="843" s="59" customFormat="1" ht="12.75"/>
    <row r="844" s="59" customFormat="1" ht="12.75"/>
    <row r="845" s="59" customFormat="1" ht="12.75"/>
    <row r="846" s="59" customFormat="1" ht="12.75"/>
    <row r="847" s="59" customFormat="1" ht="12.75"/>
    <row r="848" s="59" customFormat="1" ht="12.75"/>
    <row r="849" s="59" customFormat="1" ht="12.75"/>
    <row r="850" s="59" customFormat="1" ht="12.75"/>
    <row r="851" s="59" customFormat="1" ht="12.75"/>
    <row r="852" s="59" customFormat="1" ht="12.75"/>
    <row r="853" s="59" customFormat="1" ht="12.75"/>
    <row r="854" s="59" customFormat="1" ht="12.75"/>
    <row r="855" s="59" customFormat="1" ht="12.75"/>
    <row r="856" s="59" customFormat="1" ht="12.75"/>
    <row r="857" s="59" customFormat="1" ht="12.75"/>
    <row r="858" s="59" customFormat="1" ht="12.75"/>
    <row r="859" s="59" customFormat="1" ht="12.75"/>
    <row r="860" s="59" customFormat="1" ht="12.75"/>
    <row r="861" s="59" customFormat="1" ht="12.75"/>
    <row r="862" s="59" customFormat="1" ht="12.75"/>
    <row r="863" s="59" customFormat="1" ht="12.75"/>
    <row r="864" s="59" customFormat="1" ht="12.75"/>
    <row r="865" s="59" customFormat="1" ht="12.75"/>
    <row r="866" s="59" customFormat="1" ht="12.75"/>
    <row r="867" s="59" customFormat="1" ht="12.75"/>
    <row r="868" s="59" customFormat="1" ht="12.75"/>
    <row r="869" s="59" customFormat="1" ht="12.75"/>
    <row r="870" s="59" customFormat="1" ht="12.75"/>
    <row r="871" s="59" customFormat="1" ht="12.75"/>
    <row r="872" s="59" customFormat="1" ht="12.75"/>
    <row r="873" s="59" customFormat="1" ht="12.75"/>
    <row r="874" s="59" customFormat="1" ht="12.75"/>
    <row r="875" s="59" customFormat="1" ht="12.75"/>
    <row r="876" s="59" customFormat="1" ht="12.75"/>
    <row r="877" s="59" customFormat="1" ht="12.75"/>
    <row r="878" s="59" customFormat="1" ht="12.75"/>
    <row r="879" s="59" customFormat="1" ht="12.75"/>
    <row r="880" s="59" customFormat="1" ht="12.75"/>
    <row r="881" s="59" customFormat="1" ht="12.75"/>
    <row r="882" s="59" customFormat="1" ht="12.75"/>
    <row r="883" s="59" customFormat="1" ht="12.75"/>
    <row r="884" s="59" customFormat="1" ht="12.75"/>
    <row r="885" s="59" customFormat="1" ht="12.75"/>
    <row r="886" s="59" customFormat="1" ht="12.75"/>
    <row r="887" s="59" customFormat="1" ht="12.75"/>
    <row r="888" s="59" customFormat="1" ht="12.75"/>
    <row r="889" s="59" customFormat="1" ht="12.75"/>
    <row r="890" s="59" customFormat="1" ht="12.75"/>
    <row r="891" s="59" customFormat="1" ht="12.75"/>
    <row r="892" s="59" customFormat="1" ht="12.75"/>
    <row r="893" s="59" customFormat="1" ht="12.75"/>
    <row r="894" s="59" customFormat="1" ht="12.75"/>
    <row r="895" s="59" customFormat="1" ht="12.75"/>
    <row r="896" s="59" customFormat="1" ht="12.75"/>
    <row r="897" s="59" customFormat="1" ht="12.75"/>
    <row r="898" s="59" customFormat="1" ht="12.75"/>
    <row r="899" s="59" customFormat="1" ht="12.75"/>
    <row r="900" s="59" customFormat="1" ht="12.75"/>
    <row r="901" s="59" customFormat="1" ht="12.75"/>
    <row r="902" s="59" customFormat="1" ht="12.75"/>
    <row r="903" s="59" customFormat="1" ht="12.75"/>
    <row r="904" s="59" customFormat="1" ht="12.75"/>
    <row r="905" s="59" customFormat="1" ht="12.75"/>
    <row r="906" s="59" customFormat="1" ht="12.75"/>
    <row r="907" s="59" customFormat="1" ht="12.75"/>
    <row r="908" s="59" customFormat="1" ht="12.75"/>
    <row r="909" s="59" customFormat="1" ht="12.75"/>
    <row r="910" s="59" customFormat="1" ht="12.75"/>
    <row r="911" s="59" customFormat="1" ht="12.75"/>
    <row r="912" s="59" customFormat="1" ht="12.75"/>
    <row r="913" s="59" customFormat="1" ht="12.75"/>
    <row r="914" s="59" customFormat="1" ht="12.75"/>
    <row r="915" s="59" customFormat="1" ht="12.75"/>
    <row r="916" s="59" customFormat="1" ht="12.75"/>
    <row r="917" s="59" customFormat="1" ht="12.75"/>
    <row r="918" s="59" customFormat="1" ht="12.75"/>
    <row r="919" s="59" customFormat="1" ht="12.75"/>
    <row r="920" s="59" customFormat="1" ht="12.75"/>
    <row r="921" s="59" customFormat="1" ht="12.75"/>
    <row r="922" s="59" customFormat="1" ht="12.75"/>
    <row r="923" s="59" customFormat="1" ht="12.75"/>
    <row r="924" s="59" customFormat="1" ht="12.75"/>
    <row r="925" s="59" customFormat="1" ht="12.75"/>
    <row r="926" s="59" customFormat="1" ht="12.75"/>
    <row r="927" s="59" customFormat="1" ht="12.75"/>
    <row r="928" s="59" customFormat="1" ht="12.75"/>
  </sheetData>
  <sheetProtection password="99A9" sheet="1" objects="1" scenarios="1" selectLockedCells="1"/>
  <mergeCells count="156">
    <mergeCell ref="H100:I100"/>
    <mergeCell ref="H98:I98"/>
    <mergeCell ref="H99:I99"/>
    <mergeCell ref="M77:N77"/>
    <mergeCell ref="M78:N78"/>
    <mergeCell ref="M81:N81"/>
    <mergeCell ref="H81:K81"/>
    <mergeCell ref="M92:N92"/>
    <mergeCell ref="M76:N76"/>
    <mergeCell ref="K60:O60"/>
    <mergeCell ref="K62:O62"/>
    <mergeCell ref="K67:O67"/>
    <mergeCell ref="K65:O65"/>
    <mergeCell ref="L105:M105"/>
    <mergeCell ref="J106:K106"/>
    <mergeCell ref="J107:K107"/>
    <mergeCell ref="J112:K112"/>
    <mergeCell ref="L106:M106"/>
    <mergeCell ref="L107:M107"/>
    <mergeCell ref="L108:M108"/>
    <mergeCell ref="J105:K105"/>
    <mergeCell ref="G270:H270"/>
    <mergeCell ref="G271:H271"/>
    <mergeCell ref="G273:H273"/>
    <mergeCell ref="L112:M112"/>
    <mergeCell ref="G209:H209"/>
    <mergeCell ref="A247:H247"/>
    <mergeCell ref="G200:H200"/>
    <mergeCell ref="A187:H187"/>
    <mergeCell ref="G330:H330"/>
    <mergeCell ref="G327:H327"/>
    <mergeCell ref="G328:H328"/>
    <mergeCell ref="G326:H326"/>
    <mergeCell ref="A331:C331"/>
    <mergeCell ref="G331:H331"/>
    <mergeCell ref="J110:K110"/>
    <mergeCell ref="J111:K111"/>
    <mergeCell ref="H110:I110"/>
    <mergeCell ref="H111:I111"/>
    <mergeCell ref="H112:I112"/>
    <mergeCell ref="A329:C329"/>
    <mergeCell ref="G329:H329"/>
    <mergeCell ref="G325:H325"/>
    <mergeCell ref="A427:B427"/>
    <mergeCell ref="A360:G360"/>
    <mergeCell ref="A423:B423"/>
    <mergeCell ref="A424:B424"/>
    <mergeCell ref="A421:G421"/>
    <mergeCell ref="A426:B426"/>
    <mergeCell ref="A425:B425"/>
    <mergeCell ref="G334:H334"/>
    <mergeCell ref="A332:C332"/>
    <mergeCell ref="G333:H333"/>
    <mergeCell ref="G332:H332"/>
    <mergeCell ref="A271:C271"/>
    <mergeCell ref="A272:C272"/>
    <mergeCell ref="G265:H265"/>
    <mergeCell ref="P306:W306"/>
    <mergeCell ref="G272:H272"/>
    <mergeCell ref="G268:H268"/>
    <mergeCell ref="G269:H269"/>
    <mergeCell ref="I306:O306"/>
    <mergeCell ref="G267:H267"/>
    <mergeCell ref="A306:H306"/>
    <mergeCell ref="G274:H274"/>
    <mergeCell ref="A269:C269"/>
    <mergeCell ref="A217:C217"/>
    <mergeCell ref="G205:H205"/>
    <mergeCell ref="G208:H208"/>
    <mergeCell ref="A206:C206"/>
    <mergeCell ref="G206:H206"/>
    <mergeCell ref="A207:C207"/>
    <mergeCell ref="G207:H207"/>
    <mergeCell ref="A215:B215"/>
    <mergeCell ref="A204:C204"/>
    <mergeCell ref="G204:H204"/>
    <mergeCell ref="A52:C52"/>
    <mergeCell ref="A57:C57"/>
    <mergeCell ref="A53:C53"/>
    <mergeCell ref="A54:C54"/>
    <mergeCell ref="A55:C55"/>
    <mergeCell ref="A56:C56"/>
    <mergeCell ref="A62:G62"/>
    <mergeCell ref="E57:G57"/>
    <mergeCell ref="A50:C50"/>
    <mergeCell ref="A51:C51"/>
    <mergeCell ref="E55:G55"/>
    <mergeCell ref="E48:G48"/>
    <mergeCell ref="E49:G49"/>
    <mergeCell ref="E50:G50"/>
    <mergeCell ref="E51:G51"/>
    <mergeCell ref="E52:G52"/>
    <mergeCell ref="E53:G53"/>
    <mergeCell ref="A46:B46"/>
    <mergeCell ref="E46:F46"/>
    <mergeCell ref="A48:C48"/>
    <mergeCell ref="A49:C49"/>
    <mergeCell ref="E40:G40"/>
    <mergeCell ref="A38:C38"/>
    <mergeCell ref="A39:C39"/>
    <mergeCell ref="A41:C41"/>
    <mergeCell ref="A40:C40"/>
    <mergeCell ref="F28:G28"/>
    <mergeCell ref="A42:C42"/>
    <mergeCell ref="A37:C37"/>
    <mergeCell ref="A1:G1"/>
    <mergeCell ref="A2:G2"/>
    <mergeCell ref="A3:G3"/>
    <mergeCell ref="A4:G4"/>
    <mergeCell ref="E37:G37"/>
    <mergeCell ref="E38:G38"/>
    <mergeCell ref="E39:G39"/>
    <mergeCell ref="A8:B8"/>
    <mergeCell ref="D8:F8"/>
    <mergeCell ref="E41:G41"/>
    <mergeCell ref="E42:G42"/>
    <mergeCell ref="E34:G34"/>
    <mergeCell ref="E35:G35"/>
    <mergeCell ref="A27:B27"/>
    <mergeCell ref="E36:G36"/>
    <mergeCell ref="A33:C33"/>
    <mergeCell ref="A34:C34"/>
    <mergeCell ref="E56:G56"/>
    <mergeCell ref="E54:G54"/>
    <mergeCell ref="A10:B10"/>
    <mergeCell ref="E33:G33"/>
    <mergeCell ref="F24:G24"/>
    <mergeCell ref="F26:G26"/>
    <mergeCell ref="A35:C35"/>
    <mergeCell ref="E31:F31"/>
    <mergeCell ref="A31:B31"/>
    <mergeCell ref="A36:C36"/>
    <mergeCell ref="H104:O104"/>
    <mergeCell ref="G201:H201"/>
    <mergeCell ref="G202:H202"/>
    <mergeCell ref="G203:H203"/>
    <mergeCell ref="H106:I106"/>
    <mergeCell ref="L109:M109"/>
    <mergeCell ref="L110:M110"/>
    <mergeCell ref="L111:M111"/>
    <mergeCell ref="J108:K108"/>
    <mergeCell ref="J109:K109"/>
    <mergeCell ref="H107:I107"/>
    <mergeCell ref="H108:I108"/>
    <mergeCell ref="H109:I109"/>
    <mergeCell ref="H105:I105"/>
    <mergeCell ref="A67:G67"/>
    <mergeCell ref="AE397:AG397"/>
    <mergeCell ref="AE412:AG412"/>
    <mergeCell ref="A216:B216"/>
    <mergeCell ref="H74:J74"/>
    <mergeCell ref="H76:J76"/>
    <mergeCell ref="H77:J77"/>
    <mergeCell ref="H78:J78"/>
    <mergeCell ref="A214:B214"/>
    <mergeCell ref="G266:H266"/>
  </mergeCells>
  <printOptions horizontalCentered="1" verticalCentered="1"/>
  <pageMargins left="0.3937007874015748" right="0.3937007874015748" top="0.3937007874015748" bottom="0.5905511811023623" header="0" footer="0"/>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LAVIGNE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GIRAFE</dc:creator>
  <cp:keywords/>
  <dc:description/>
  <cp:lastModifiedBy>GIRAFE</cp:lastModifiedBy>
  <cp:lastPrinted>2006-09-17T13:20:03Z</cp:lastPrinted>
  <dcterms:created xsi:type="dcterms:W3CDTF">2005-08-06T13:58:03Z</dcterms:created>
  <dcterms:modified xsi:type="dcterms:W3CDTF">2006-09-17T13:28:14Z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